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1" activeTab="0"/>
  </bookViews>
  <sheets>
    <sheet name="0" sheetId="1" r:id="rId1"/>
    <sheet name="1913" sheetId="2" r:id="rId2"/>
    <sheet name="1931" sheetId="3" r:id="rId3"/>
    <sheet name="1933" sheetId="4" r:id="rId4"/>
    <sheet name="1947" sheetId="5" r:id="rId5"/>
    <sheet name="1952" sheetId="6" r:id="rId6"/>
    <sheet name="1953" sheetId="7" r:id="rId7"/>
    <sheet name="1958" sheetId="8" r:id="rId8"/>
    <sheet name="1960" sheetId="9" r:id="rId9"/>
    <sheet name="1964" sheetId="10" r:id="rId10"/>
    <sheet name="1974" sheetId="11" r:id="rId11"/>
    <sheet name="1974-75" sheetId="12" r:id="rId12"/>
    <sheet name="1976" sheetId="13" r:id="rId13"/>
    <sheet name="1977-78" sheetId="14" r:id="rId14"/>
    <sheet name="1978" sheetId="15" r:id="rId15"/>
    <sheet name="1978-79" sheetId="16" r:id="rId16"/>
    <sheet name="1979" sheetId="17" r:id="rId17"/>
    <sheet name="1979-80" sheetId="18" r:id="rId18"/>
    <sheet name="1980" sheetId="19" r:id="rId19"/>
    <sheet name="1980-81" sheetId="20" r:id="rId20"/>
    <sheet name="1981" sheetId="21" r:id="rId21"/>
    <sheet name="2002" sheetId="22" r:id="rId22"/>
    <sheet name="2005" sheetId="23" r:id="rId23"/>
    <sheet name="2006" sheetId="24" r:id="rId24"/>
    <sheet name="2007" sheetId="25" r:id="rId25"/>
    <sheet name="2008" sheetId="26" r:id="rId26"/>
    <sheet name="2009" sheetId="27" r:id="rId27"/>
    <sheet name="2012" sheetId="28" r:id="rId28"/>
    <sheet name="2015" sheetId="29" r:id="rId29"/>
  </sheets>
  <definedNames/>
  <calcPr fullCalcOnLoad="1"/>
</workbook>
</file>

<file path=xl/sharedStrings.xml><?xml version="1.0" encoding="utf-8"?>
<sst xmlns="http://schemas.openxmlformats.org/spreadsheetml/2006/main" count="9217" uniqueCount="501">
  <si>
    <t>Nr</t>
  </si>
  <si>
    <t>route</t>
  </si>
  <si>
    <t>km</t>
  </si>
  <si>
    <t>travel time</t>
  </si>
  <si>
    <t>without stops</t>
  </si>
  <si>
    <t>name</t>
  </si>
  <si>
    <t>runs</t>
  </si>
  <si>
    <t>services</t>
  </si>
  <si>
    <t>average speed</t>
  </si>
  <si>
    <t>direction</t>
  </si>
  <si>
    <t>season</t>
  </si>
  <si>
    <t>operator</t>
  </si>
  <si>
    <t>trips/week</t>
  </si>
  <si>
    <t>km/week</t>
  </si>
  <si>
    <t>Skagway – Whitehorse</t>
  </si>
  <si>
    <t>Daily</t>
  </si>
  <si>
    <t>northbound</t>
  </si>
  <si>
    <t>Winter</t>
  </si>
  <si>
    <t>White Pass &amp; Yukon Railroad</t>
  </si>
  <si>
    <t>Whitehorse – Skagway</t>
  </si>
  <si>
    <t>southbound</t>
  </si>
  <si>
    <t>Seward – Anchorage</t>
  </si>
  <si>
    <t>Mo-Sa</t>
  </si>
  <si>
    <t xml:space="preserve">Alaska Northern Railroad </t>
  </si>
  <si>
    <t>Anchorage – Seward</t>
  </si>
  <si>
    <t>Alaska+WP&amp;Y RR</t>
  </si>
  <si>
    <t>trips/week %</t>
  </si>
  <si>
    <t>km/week %</t>
  </si>
  <si>
    <t>weekly</t>
  </si>
  <si>
    <t>Summer</t>
  </si>
  <si>
    <t>Curry – Seward</t>
  </si>
  <si>
    <t>Midnight Sun</t>
  </si>
  <si>
    <t>Fr</t>
  </si>
  <si>
    <t>Parlor</t>
  </si>
  <si>
    <t>Alaska Railroad</t>
  </si>
  <si>
    <t>Seward – Curry</t>
  </si>
  <si>
    <t>Sa</t>
  </si>
  <si>
    <t>Fairbanks – Curry</t>
  </si>
  <si>
    <t>Mt. McKinley Special</t>
  </si>
  <si>
    <t>We</t>
  </si>
  <si>
    <t>Th</t>
  </si>
  <si>
    <t>Curry – Fairbanks</t>
  </si>
  <si>
    <t>Su</t>
  </si>
  <si>
    <t>Mo</t>
  </si>
  <si>
    <t>Fairbanks – McKinley Park</t>
  </si>
  <si>
    <t>Curry – McKinley Park</t>
  </si>
  <si>
    <t>McKinley Park – Seward</t>
  </si>
  <si>
    <t>Tu</t>
  </si>
  <si>
    <t>McKinley Park – Fairbanks</t>
  </si>
  <si>
    <t>Tu, We, Sa, Su</t>
  </si>
  <si>
    <t>Parlor Obs</t>
  </si>
  <si>
    <t>Mo, Th, Fr</t>
  </si>
  <si>
    <t>Skagway – Carcross</t>
  </si>
  <si>
    <t>West Taku Arm Special</t>
  </si>
  <si>
    <t>twice-weekly</t>
  </si>
  <si>
    <t>Tu, Th, Fr</t>
  </si>
  <si>
    <t>Anchorage – Fairbanks</t>
  </si>
  <si>
    <t xml:space="preserve">Aurora </t>
  </si>
  <si>
    <t>Not Th</t>
  </si>
  <si>
    <t>Fairbanks – Anchorage</t>
  </si>
  <si>
    <t>Anchorage – Whittier</t>
  </si>
  <si>
    <t>Whittier – Anchorage</t>
  </si>
  <si>
    <t>Anchorage – Sutton</t>
  </si>
  <si>
    <t>Sutton – Anchorage</t>
  </si>
  <si>
    <t>Su, Th</t>
  </si>
  <si>
    <t>WL WR</t>
  </si>
  <si>
    <t>Mo, Fr</t>
  </si>
  <si>
    <t>Mo-Fr</t>
  </si>
  <si>
    <t>Not Tu</t>
  </si>
  <si>
    <t>Portage – Whittier</t>
  </si>
  <si>
    <t>Not Tu (2x)</t>
  </si>
  <si>
    <t>Whittier – Portage</t>
  </si>
  <si>
    <t>1974-75</t>
  </si>
  <si>
    <t>Not Tu, Th</t>
  </si>
  <si>
    <t>1977-78</t>
  </si>
  <si>
    <t>1978-79</t>
  </si>
  <si>
    <t>1979-80</t>
  </si>
  <si>
    <t>1980-81</t>
  </si>
  <si>
    <t>Early Shuttle</t>
  </si>
  <si>
    <t>Mo, Sa</t>
  </si>
  <si>
    <t xml:space="preserve">Coastal Classic </t>
  </si>
  <si>
    <t>11+12.5+18.5-15.9</t>
  </si>
  <si>
    <t>WR D XS</t>
  </si>
  <si>
    <t>Denali Star</t>
  </si>
  <si>
    <t>15.5-16.9</t>
  </si>
  <si>
    <t>Glacier Discovery</t>
  </si>
  <si>
    <t>XS</t>
  </si>
  <si>
    <t>Talkeetna – Hurricane</t>
  </si>
  <si>
    <t>Hurricane Turn</t>
  </si>
  <si>
    <t>Th-Su 9.5-15.9</t>
  </si>
  <si>
    <t>RDC D</t>
  </si>
  <si>
    <t>Hurricane – Talkeetna</t>
  </si>
  <si>
    <t>Aurora Winter Train</t>
  </si>
  <si>
    <t>Sa 22.9-12.5</t>
  </si>
  <si>
    <t>Su 22.9-12.5</t>
  </si>
  <si>
    <t>Anchorage – Hurricane</t>
  </si>
  <si>
    <t>Winter Hurricane</t>
  </si>
  <si>
    <t>1st Th/month 22.9-12.5</t>
  </si>
  <si>
    <t>Hurricane – Anchorage</t>
  </si>
  <si>
    <t>14.5-12.9</t>
  </si>
  <si>
    <t>14.5-11.9</t>
  </si>
  <si>
    <t>WR Dome D XS</t>
  </si>
  <si>
    <t>15.5-12.9</t>
  </si>
  <si>
    <t>Anchorage – Grandview</t>
  </si>
  <si>
    <t>Grandview – Anchorage</t>
  </si>
  <si>
    <t>Th-Su 12.5-11.9</t>
  </si>
  <si>
    <t>Sa 17.9-13.5</t>
  </si>
  <si>
    <t>Su 17.9-14.5</t>
  </si>
  <si>
    <t>1st Th/month 6.10-4.5</t>
  </si>
  <si>
    <t>13.5-18.9</t>
  </si>
  <si>
    <t>19.5-17.9</t>
  </si>
  <si>
    <t>20.5-17.9</t>
  </si>
  <si>
    <t>Th-Su 18.5-17.9</t>
  </si>
  <si>
    <t>Sa 23.9-13.5</t>
  </si>
  <si>
    <t>Su 23.9-13.5</t>
  </si>
  <si>
    <t>1st Th/month 5.10-3.5</t>
  </si>
  <si>
    <t>Carcross</t>
  </si>
  <si>
    <t>23.5-16.9</t>
  </si>
  <si>
    <t>Carcross – Skagway</t>
  </si>
  <si>
    <t>Skagway – Fraser</t>
  </si>
  <si>
    <t>Fraser</t>
  </si>
  <si>
    <t>12.5-16.9</t>
  </si>
  <si>
    <t>Fraser – Skagway</t>
  </si>
  <si>
    <t>12.5-18.9</t>
  </si>
  <si>
    <t>Skagway – White Pass</t>
  </si>
  <si>
    <t>Summit</t>
  </si>
  <si>
    <t>7.5-27.9</t>
  </si>
  <si>
    <t>White Pass – Skagway</t>
  </si>
  <si>
    <t>Mo-Th 7.5-27.9</t>
  </si>
  <si>
    <t>WX</t>
  </si>
  <si>
    <t>Steam</t>
  </si>
  <si>
    <t>Sa+Su 12.5-16.9</t>
  </si>
  <si>
    <t>12.5-17.9</t>
  </si>
  <si>
    <t>19.5-16.9</t>
  </si>
  <si>
    <t>Th-Su 10.5-16.9</t>
  </si>
  <si>
    <t>1st Th/month 4.10-2.5</t>
  </si>
  <si>
    <t>10.5-15.9</t>
  </si>
  <si>
    <t>15.5-14.9</t>
  </si>
  <si>
    <t>16.5-15.9</t>
  </si>
  <si>
    <t>17.5-15.9</t>
  </si>
  <si>
    <t>Th-Su 15.5-14.9</t>
  </si>
  <si>
    <t>Sa 20.9-10.5</t>
  </si>
  <si>
    <t>Su 20.9-10.5</t>
  </si>
  <si>
    <t>1st Th/month 2.10-7.5</t>
  </si>
  <si>
    <t>9.5-14.9</t>
  </si>
  <si>
    <t>15.5-13.9</t>
  </si>
  <si>
    <t>16.5-14.9</t>
  </si>
  <si>
    <t>Th-Su 14.5-13.9</t>
  </si>
  <si>
    <t>Railcar D</t>
  </si>
  <si>
    <t>Sa 19.9-9.5</t>
  </si>
  <si>
    <t>Su 19.9-9.5</t>
  </si>
  <si>
    <t>1st Th/month 1.10-6.5</t>
  </si>
  <si>
    <t>We, Th, Sa 30.5-31.8</t>
  </si>
  <si>
    <t>Tu, Fr 30.5-31.8</t>
  </si>
  <si>
    <t>21.5-7.9</t>
  </si>
  <si>
    <t>Mo-Sa 21.5-7.9</t>
  </si>
  <si>
    <t>4.5-25.9</t>
  </si>
  <si>
    <t>Tu, We 29.5-5.9</t>
  </si>
  <si>
    <t>Fr 18.5-10.9</t>
  </si>
  <si>
    <t>Dome WR D XS</t>
  </si>
  <si>
    <t>17.5-16.9</t>
  </si>
  <si>
    <t>19.5-16.9+19.9</t>
  </si>
  <si>
    <t>WR XS D</t>
  </si>
  <si>
    <t>17.5-16.9 Th-Su</t>
  </si>
  <si>
    <r>
      <t>1</t>
    </r>
    <r>
      <rPr>
        <vertAlign val="superscript"/>
        <sz val="10"/>
        <rFont val="Arial"/>
        <family val="2"/>
      </rPr>
      <t>st</t>
    </r>
    <r>
      <rPr>
        <sz val="10"/>
        <rFont val="Arial"/>
        <family val="2"/>
      </rPr>
      <t xml:space="preserve"> Th 4.10-2.5</t>
    </r>
  </si>
  <si>
    <t>speed limit</t>
  </si>
  <si>
    <t>Fare</t>
  </si>
  <si>
    <t>Dome class Fare</t>
  </si>
  <si>
    <t>Peak Fare</t>
  </si>
  <si>
    <t>Peak Dome class Fare</t>
  </si>
  <si>
    <t>Tu-Fr 26.5-5.9</t>
  </si>
  <si>
    <t>40 km/h</t>
  </si>
  <si>
    <t>Sa 26.5-5.9</t>
  </si>
  <si>
    <t>5.5-24.9</t>
  </si>
  <si>
    <t>Tu, We 26.5-2.9</t>
  </si>
  <si>
    <t>Th, Fr 22.5-14.9</t>
  </si>
  <si>
    <t>30 km/h</t>
  </si>
  <si>
    <t>9.5-13.9</t>
  </si>
  <si>
    <t>79 km/h</t>
  </si>
  <si>
    <t>13.5-12.9</t>
  </si>
  <si>
    <t>14.5-13.9</t>
  </si>
  <si>
    <t>Anchorage – Denali</t>
  </si>
  <si>
    <t>McKinley Explorer</t>
  </si>
  <si>
    <t>13.5-16.9</t>
  </si>
  <si>
    <t>Dome WR XS</t>
  </si>
  <si>
    <t>Holland America Line</t>
  </si>
  <si>
    <t>Denali – Anchorage</t>
  </si>
  <si>
    <t>15.5-17.9</t>
  </si>
  <si>
    <t>1.6-14.9</t>
  </si>
  <si>
    <t>to Whittier</t>
  </si>
  <si>
    <t>to Grandview</t>
  </si>
  <si>
    <t>15.5-14.9 Th-Su</t>
  </si>
  <si>
    <t>1st Th/month 20.9-10.5</t>
  </si>
  <si>
    <t>roundtrip</t>
  </si>
  <si>
    <t>peak season = 1.6-31.8</t>
  </si>
  <si>
    <t>Train numbering nomenclature</t>
  </si>
  <si>
    <t>odd</t>
  </si>
  <si>
    <t>down from Fairbanks</t>
  </si>
  <si>
    <t>even</t>
  </si>
  <si>
    <t>up to Fairbanks</t>
  </si>
  <si>
    <t>down from Skagway</t>
  </si>
  <si>
    <t>up to Skagway</t>
  </si>
  <si>
    <t>year</t>
  </si>
  <si>
    <t>%/wintertrips</t>
  </si>
  <si>
    <t>%/winterkm</t>
  </si>
  <si>
    <t>Seward – Curry – Fairbanks</t>
  </si>
  <si>
    <t>Seward/Whittier – Anchorage – Sutton/Fairbanks</t>
  </si>
  <si>
    <t>Whittier – Anchorage – Sutton/Fairbanks</t>
  </si>
  <si>
    <t>Whittier – Anchorage – Fairbanks</t>
  </si>
  <si>
    <t>2001-02</t>
  </si>
  <si>
    <t>Seward/Whittier – Anchorage – Fairbanks</t>
  </si>
  <si>
    <t>2005-06</t>
  </si>
  <si>
    <t>2006-07</t>
  </si>
  <si>
    <t>2007-08</t>
  </si>
  <si>
    <t>2008-09</t>
  </si>
  <si>
    <t>2009-10</t>
  </si>
  <si>
    <t>2012-13</t>
  </si>
  <si>
    <t>2014-15</t>
  </si>
  <si>
    <t>2-1913</t>
  </si>
  <si>
    <t>Seward</t>
  </si>
  <si>
    <t>Kern Creek</t>
  </si>
  <si>
    <t>White Pass &amp; Yukon</t>
  </si>
  <si>
    <t>Alt.</t>
  </si>
  <si>
    <t>Northbound</t>
  </si>
  <si>
    <t>Summer schedule</t>
  </si>
  <si>
    <t>Skagway Jct.</t>
  </si>
  <si>
    <t>Daily service Northbound</t>
  </si>
  <si>
    <t>Shops</t>
  </si>
  <si>
    <t>White Pass</t>
  </si>
  <si>
    <t>Log Cabin</t>
  </si>
  <si>
    <t>Bennett</t>
  </si>
  <si>
    <t>Whitehorse</t>
  </si>
  <si>
    <t>12:00 Alaska Time = 13:00 Pacific Time</t>
  </si>
  <si>
    <t>Bennett = Meal stop</t>
  </si>
  <si>
    <t>914 mm narrow gauge</t>
  </si>
  <si>
    <t>White Pass = US/Canada border</t>
  </si>
  <si>
    <t>Telegraph stations: Skagway, Carcross, Whitehorse</t>
  </si>
  <si>
    <t>Southbound</t>
  </si>
  <si>
    <t>Daily service Southbound</t>
  </si>
  <si>
    <t>13:00 Pacific Time = 12:00 Alaska Time</t>
  </si>
  <si>
    <t>valid until 2.9.1931</t>
  </si>
  <si>
    <t>D</t>
  </si>
  <si>
    <t>Lawning</t>
  </si>
  <si>
    <t>Tunnel</t>
  </si>
  <si>
    <t>Girdwood</t>
  </si>
  <si>
    <t>Anchorage</t>
  </si>
  <si>
    <t>A</t>
  </si>
  <si>
    <t>Matanuska</t>
  </si>
  <si>
    <t>Wasilla</t>
  </si>
  <si>
    <t>Talkeetna</t>
  </si>
  <si>
    <t>Curry</t>
  </si>
  <si>
    <t>|</t>
  </si>
  <si>
    <t>Hurricane</t>
  </si>
  <si>
    <t>Broad Pass</t>
  </si>
  <si>
    <t>Cantwell</t>
  </si>
  <si>
    <t>McKinley Park</t>
  </si>
  <si>
    <t>Healy</t>
  </si>
  <si>
    <t>Nenana</t>
  </si>
  <si>
    <t>Fairbanks</t>
  </si>
  <si>
    <t>Telegraph stations: Talkeetna, Healy, Nenana</t>
  </si>
  <si>
    <t>All trains have observation cars</t>
  </si>
  <si>
    <t>Anchorage &amp; Healy = lunch stops</t>
  </si>
  <si>
    <t>Curry = overnight stop with diner and breakfast at the Alaska Railroad-owned Curry Hotel</t>
  </si>
  <si>
    <t>once-weekly service Northbound</t>
  </si>
  <si>
    <t>once-weekly service Southbound</t>
  </si>
  <si>
    <t>12-1933</t>
  </si>
  <si>
    <t>Winter schedule</t>
  </si>
  <si>
    <t>valid from 26.10.1947</t>
  </si>
  <si>
    <t>valid from 3.6.1952</t>
  </si>
  <si>
    <t xml:space="preserve">  Whittier</t>
  </si>
  <si>
    <t>Portage</t>
  </si>
  <si>
    <t>183/0</t>
  </si>
  <si>
    <t xml:space="preserve">  Palmer</t>
  </si>
  <si>
    <t xml:space="preserve">  Moose Creek</t>
  </si>
  <si>
    <t xml:space="preserve">  Sutton</t>
  </si>
  <si>
    <t>573/0</t>
  </si>
  <si>
    <t>Tu,We,Sa,Su</t>
  </si>
  <si>
    <t>Bennett, BC</t>
  </si>
  <si>
    <t>Carcross, YK</t>
  </si>
  <si>
    <t>All trains have parlor observation cars</t>
  </si>
  <si>
    <t>During winter twice-weekly train in each direction</t>
  </si>
  <si>
    <t>Whittier</t>
  </si>
  <si>
    <t>100/0</t>
  </si>
  <si>
    <t>Mixed</t>
  </si>
  <si>
    <t>Twice-weekly</t>
  </si>
  <si>
    <t>Clifton</t>
  </si>
  <si>
    <t>X</t>
  </si>
  <si>
    <t>Glacier</t>
  </si>
  <si>
    <t>Pennington</t>
  </si>
  <si>
    <t>Cowley</t>
  </si>
  <si>
    <t>X = flag stop</t>
  </si>
  <si>
    <t>November 1958</t>
  </si>
  <si>
    <t>Fort Richardson</t>
  </si>
  <si>
    <t>Whitney</t>
  </si>
  <si>
    <t>Eagle River</t>
  </si>
  <si>
    <t>Birchwood</t>
  </si>
  <si>
    <t>Eklutna</t>
  </si>
  <si>
    <t>Pittman</t>
  </si>
  <si>
    <t>Houston</t>
  </si>
  <si>
    <t>Nancy</t>
  </si>
  <si>
    <t>Willow</t>
  </si>
  <si>
    <t>Little Willow</t>
  </si>
  <si>
    <t>Kashwitna</t>
  </si>
  <si>
    <t>Caswell</t>
  </si>
  <si>
    <t>Goose Creek</t>
  </si>
  <si>
    <t>Montana</t>
  </si>
  <si>
    <t>Montana Creek</t>
  </si>
  <si>
    <t>Sunshine</t>
  </si>
  <si>
    <t>Fish Lake</t>
  </si>
  <si>
    <t>Chase</t>
  </si>
  <si>
    <t>Sherman</t>
  </si>
  <si>
    <t>Gold Creek</t>
  </si>
  <si>
    <t>Canyon</t>
  </si>
  <si>
    <t>Chulitna</t>
  </si>
  <si>
    <t>Honolulu</t>
  </si>
  <si>
    <t>Colorado</t>
  </si>
  <si>
    <t>Windy</t>
  </si>
  <si>
    <t>Carlo</t>
  </si>
  <si>
    <t>Lagoon</t>
  </si>
  <si>
    <t>Garner</t>
  </si>
  <si>
    <t>Lignite</t>
  </si>
  <si>
    <t>Ferry</t>
  </si>
  <si>
    <t>Browne</t>
  </si>
  <si>
    <t>Clear Site</t>
  </si>
  <si>
    <t>Julius</t>
  </si>
  <si>
    <t>North Nenana</t>
  </si>
  <si>
    <t>Berg</t>
  </si>
  <si>
    <t>Dunbar</t>
  </si>
  <si>
    <t>Standard</t>
  </si>
  <si>
    <t>Saulich</t>
  </si>
  <si>
    <t>Dome</t>
  </si>
  <si>
    <t>Happy</t>
  </si>
  <si>
    <t>Crossing at Honolulu</t>
  </si>
  <si>
    <t>Extra</t>
  </si>
  <si>
    <t>Subject to change without notice</t>
  </si>
  <si>
    <t>Tu, Th</t>
  </si>
  <si>
    <t>We, Fr</t>
  </si>
  <si>
    <t>Indian</t>
  </si>
  <si>
    <t>Moraine</t>
  </si>
  <si>
    <t>Telegraph station: Whittier</t>
  </si>
  <si>
    <t>twice-weekly mixed service Northbound</t>
  </si>
  <si>
    <t>twice-weekly mixed service Southbound</t>
  </si>
  <si>
    <t>9-1964</t>
  </si>
  <si>
    <t>Mo-Fr mixed service Southbound</t>
  </si>
  <si>
    <t>Mo-Fr mixed service Northbound</t>
  </si>
  <si>
    <t>Vistaliner</t>
  </si>
  <si>
    <t>Valid 26.5-9.9.1974</t>
  </si>
  <si>
    <t>Valid 10.5-30.9.1974</t>
  </si>
  <si>
    <t>Mo,We,Th,Sa,Su</t>
  </si>
  <si>
    <t>No Tuesday service</t>
  </si>
  <si>
    <t>Valid from 10.9.1974</t>
  </si>
  <si>
    <t>Tu, Sa</t>
  </si>
  <si>
    <t>We, Su</t>
  </si>
  <si>
    <t>Valid 22.5-12.9.1974</t>
  </si>
  <si>
    <t>Crossing at Broad Pass</t>
  </si>
  <si>
    <t>Valid 21.5-13.9.1976</t>
  </si>
  <si>
    <t>Not Fr</t>
  </si>
  <si>
    <t>Mo,We,Sa,Su</t>
  </si>
  <si>
    <t>Valid from 10.9.1977-21.5.1978</t>
  </si>
  <si>
    <t>Valid 21.5-9.9.1978</t>
  </si>
  <si>
    <t>Milepost 166.2</t>
  </si>
  <si>
    <t>X Tu, Sa</t>
  </si>
  <si>
    <t>Milepost 232</t>
  </si>
  <si>
    <t>Milepost 233.5</t>
  </si>
  <si>
    <t>Milepost 238.4</t>
  </si>
  <si>
    <t>Milepost 239.5</t>
  </si>
  <si>
    <t>Milepost 241.7</t>
  </si>
  <si>
    <t>Milepost 244.6</t>
  </si>
  <si>
    <t>Milepost 266</t>
  </si>
  <si>
    <t>Milepost 269</t>
  </si>
  <si>
    <t>Milepost 270</t>
  </si>
  <si>
    <t>Milepost 275.4</t>
  </si>
  <si>
    <t>Milepost 342.7</t>
  </si>
  <si>
    <t>Milepost 442</t>
  </si>
  <si>
    <t>26 = flag stop on Tu, Sa only</t>
  </si>
  <si>
    <t>Crossing at Colorado</t>
  </si>
  <si>
    <t>X We, Su</t>
  </si>
  <si>
    <t>37 = flag stop on We, Su only</t>
  </si>
  <si>
    <t>Valid 26.5-18.9.1978</t>
  </si>
  <si>
    <t>not Tu, Th</t>
  </si>
  <si>
    <t>Valid from 10.10.1978-19.5.1979</t>
  </si>
  <si>
    <t>Valid 20.5-8.9.1979</t>
  </si>
  <si>
    <t>Valid 18.5-24.9.1979</t>
  </si>
  <si>
    <t>Valid from 9.9.1979-1.1.1980</t>
  </si>
  <si>
    <t>Valid 18.5-13.9.1980</t>
  </si>
  <si>
    <t>Rainbow Crossing</t>
  </si>
  <si>
    <t>Gravel Pit</t>
  </si>
  <si>
    <t>Lane</t>
  </si>
  <si>
    <t>Milepost 257</t>
  </si>
  <si>
    <t>Valid 24.5-22.9.1980</t>
  </si>
  <si>
    <t>Valid from 14.9.1980-16.5.1981</t>
  </si>
  <si>
    <t>Valid 17.5-12.9.1981</t>
  </si>
  <si>
    <t>Valid 23.5-21.9.1981</t>
  </si>
  <si>
    <t>Mo,Sa 6.6-21.9</t>
  </si>
  <si>
    <t>Valid 22.9.2001-12.5.2002</t>
  </si>
  <si>
    <t>1st Th/month</t>
  </si>
  <si>
    <t>WR D</t>
  </si>
  <si>
    <t>Anchorage (Depot)</t>
  </si>
  <si>
    <t>Birchwood (Peters Creek)</t>
  </si>
  <si>
    <t>Eklutna (Native Village)</t>
  </si>
  <si>
    <t>Matanuska (juction to Palmer farms)</t>
  </si>
  <si>
    <t>Wasilla (to Willow Creek gold area)</t>
  </si>
  <si>
    <t>X 10:05</t>
  </si>
  <si>
    <t>Houston (Little Susitna River)</t>
  </si>
  <si>
    <t>White's Crossing</t>
  </si>
  <si>
    <t>Willow (Willow Creek)</t>
  </si>
  <si>
    <t>Caswell (Sheep Creek)</t>
  </si>
  <si>
    <t>Montana (homesteads)</t>
  </si>
  <si>
    <t>Talkeetna (to Cache Creek Mining District)</t>
  </si>
  <si>
    <t>Canyon (Indian River)</t>
  </si>
  <si>
    <t>Chulitna (Summit Lake)</t>
  </si>
  <si>
    <t>Hurricane Gulch</t>
  </si>
  <si>
    <t>Colorado (former mining district)</t>
  </si>
  <si>
    <t>Broad Pass (Continental Divide 6 mi N)</t>
  </si>
  <si>
    <t>Cantwell (Cantwell River)</t>
  </si>
  <si>
    <t>Windy (Panorama Mountain)</t>
  </si>
  <si>
    <t>Carlo (Carlo Creek)</t>
  </si>
  <si>
    <t>Oliver</t>
  </si>
  <si>
    <t>Denali Park (Mt. McKinley)</t>
  </si>
  <si>
    <t>X 15:46</t>
  </si>
  <si>
    <t>Healy (junction to coal mines)</t>
  </si>
  <si>
    <t>Usibelli Tipple (coal loading site)</t>
  </si>
  <si>
    <t>Nenana (Tanana River)</t>
  </si>
  <si>
    <t>Manley</t>
  </si>
  <si>
    <t>Fairbanks (Gateway to the Arctic)</t>
  </si>
  <si>
    <t xml:space="preserve">Instructions for flagging the train: Stand 7.62 meter outside the nearest rail with your gear. </t>
  </si>
  <si>
    <t xml:space="preserve">Wave a large piece of white cloth over your head until the Engineer acknowledges you by sounding the train whistle . </t>
  </si>
  <si>
    <t xml:space="preserve">Remain 7.62 meter way from the track until the conductor opens the door and motions you to board. </t>
  </si>
  <si>
    <t xml:space="preserve">Restrain your pets on a leash while the train is approaching or passing. </t>
  </si>
  <si>
    <t>Please use extreme caution at all times.</t>
  </si>
  <si>
    <t>X 12:15</t>
  </si>
  <si>
    <t>Broad Pass (Continental Divide 6 mi North)</t>
  </si>
  <si>
    <t>X 16:05</t>
  </si>
  <si>
    <t>X 15:40</t>
  </si>
  <si>
    <t>Montana (homestead)</t>
  </si>
  <si>
    <t>X 18:00</t>
  </si>
  <si>
    <t>X 17:14</t>
  </si>
  <si>
    <t>Matanuska (junction to Palmer farms)</t>
  </si>
  <si>
    <t>Anchorage (Railroad Depot)</t>
  </si>
  <si>
    <t xml:space="preserve">Wave a large piece of white cloth over your head until the Engineer acknowledges you by sounding the train whistle. </t>
  </si>
  <si>
    <t>18.5-15.9*</t>
  </si>
  <si>
    <t>* = also 11+12.5</t>
  </si>
  <si>
    <t>Aurora</t>
  </si>
  <si>
    <t>Dome WR D</t>
  </si>
  <si>
    <t>Denali</t>
  </si>
  <si>
    <t>Summer Hurricane Turn = Times may vary depending on number of flagstops.</t>
  </si>
  <si>
    <t xml:space="preserve">Train departs from Talkeetna depot. Transfer provided from Talkeetna Lode. </t>
  </si>
  <si>
    <t>Stops in between two stations</t>
  </si>
  <si>
    <t xml:space="preserve">On our route between Talkeetna – Hurricane, you can get off and on the train exactly where you want – even in places where there is no scheduled stop! </t>
  </si>
  <si>
    <t>The ideal solution for outdoor activities –  at that little lake deep in the forest, or that wild river you've been dreaming of for so long!</t>
  </si>
  <si>
    <t>To use this service, you must tell us the exact spot where you want the train to stop by specifying the exact mile marker at which you would like the train to stop.</t>
  </si>
  <si>
    <t>Stops in between two stations can be requested on these trains only:</t>
  </si>
  <si>
    <t>Aurora Winter Train between Talkeetna – Hurricane</t>
  </si>
  <si>
    <t>Winter Hurricane between Talkeetna – Hurricane</t>
  </si>
  <si>
    <t>Hurricane Turn between Talkeetna – Hurricane</t>
  </si>
  <si>
    <t>Spencer</t>
  </si>
  <si>
    <t>Grandview</t>
  </si>
  <si>
    <t>Spencer = Whistle Stop service.</t>
  </si>
  <si>
    <t>Passengers remain onboard at Grandview.</t>
  </si>
  <si>
    <t>X 15:45</t>
  </si>
  <si>
    <t>Summer Hurricane Turn departs from Talkeetna depot. Transfer provided from Talkeetna Lode. Times may vary depending on number of flagstops.</t>
  </si>
  <si>
    <t>2 XS</t>
  </si>
  <si>
    <t>Meal stop</t>
  </si>
  <si>
    <t>07:00**</t>
  </si>
  <si>
    <t>12:30*</t>
  </si>
  <si>
    <t>09:50**</t>
  </si>
  <si>
    <t>* = not 17+18.9</t>
  </si>
  <si>
    <t>** = Not Sa</t>
  </si>
  <si>
    <t xml:space="preserve">  Portage</t>
  </si>
  <si>
    <r>
      <t>1</t>
    </r>
    <r>
      <rPr>
        <vertAlign val="superscript"/>
        <sz val="10"/>
        <rFont val="Arial"/>
        <family val="2"/>
      </rPr>
      <t>st</t>
    </r>
    <r>
      <rPr>
        <sz val="10"/>
        <rFont val="Arial"/>
        <family val="2"/>
      </rPr>
      <t xml:space="preserve"> Th 4.10-2.5</t>
    </r>
  </si>
  <si>
    <t>from Grandview</t>
  </si>
  <si>
    <t>to Anchorage</t>
  </si>
  <si>
    <t>motorcoach</t>
  </si>
  <si>
    <t>from Anchorage</t>
  </si>
  <si>
    <t>2012/13</t>
  </si>
  <si>
    <t>Motorcoach</t>
  </si>
  <si>
    <t>We, Th,Sa 30.5-31.8</t>
  </si>
  <si>
    <t>Skagway Jn.</t>
  </si>
  <si>
    <t>Denver</t>
  </si>
  <si>
    <t>White Pass, AK (AT)</t>
  </si>
  <si>
    <t>White Pass, BC (PT)</t>
  </si>
  <si>
    <t>Bennett = Hot lunch stop</t>
  </si>
  <si>
    <t xml:space="preserve"> </t>
  </si>
  <si>
    <t>Aurora Winter</t>
  </si>
  <si>
    <t>valid 20.9.2014-14.9.2015</t>
  </si>
  <si>
    <t>L 09:35</t>
  </si>
  <si>
    <t>Deadhorse</t>
  </si>
  <si>
    <t>Twin Bridges</t>
  </si>
  <si>
    <t>The Winter Hurricane only have baggage service in Anchorage</t>
  </si>
  <si>
    <t>L = Train may depart early from this stop when all reserved passengers are onboard.</t>
  </si>
  <si>
    <t>The McKinley Explorer is operated by Alaska Tour &amp; Travel</t>
  </si>
  <si>
    <t>L 18:15</t>
  </si>
  <si>
    <t>Coastal Classic</t>
  </si>
  <si>
    <t>L 08:00</t>
  </si>
  <si>
    <t>Spencer = Whistle Stop service includes guided hike with U.S. Forest Service ranger.</t>
  </si>
  <si>
    <t>Glacier Discovery passengers remain onboard at Grandview.</t>
  </si>
  <si>
    <t>L 20:55</t>
  </si>
  <si>
    <t>19.5-5.9*</t>
  </si>
  <si>
    <t>* = not Su 19-30.5</t>
  </si>
  <si>
    <t>19.5-5.9</t>
  </si>
  <si>
    <t>Tu-Th 26.5-5.9</t>
  </si>
</sst>
</file>

<file path=xl/styles.xml><?xml version="1.0" encoding="utf-8"?>
<styleSheet xmlns="http://schemas.openxmlformats.org/spreadsheetml/2006/main">
  <numFmts count="11">
    <numFmt numFmtId="164" formatCode="GENERAL"/>
    <numFmt numFmtId="165" formatCode="#"/>
    <numFmt numFmtId="166" formatCode="HH:MM:SS"/>
    <numFmt numFmtId="167" formatCode="0.0"/>
    <numFmt numFmtId="168" formatCode="0.00%"/>
    <numFmt numFmtId="169" formatCode="0"/>
    <numFmt numFmtId="170" formatCode="[$$-409]#,###;[RED]\-[$$-409]#,###"/>
    <numFmt numFmtId="171" formatCode="[$$-409]#,##0.00;[RED]\-[$$-409]#,##0.00"/>
    <numFmt numFmtId="172" formatCode="HH:MM"/>
    <numFmt numFmtId="173" formatCode="0.00"/>
    <numFmt numFmtId="174" formatCode="GENERAL"/>
  </numFmts>
  <fonts count="9">
    <font>
      <sz val="10"/>
      <name val="Arial"/>
      <family val="2"/>
    </font>
    <font>
      <b/>
      <sz val="10"/>
      <name val="Arial"/>
      <family val="2"/>
    </font>
    <font>
      <sz val="10"/>
      <name val="ArialMT"/>
      <family val="2"/>
    </font>
    <font>
      <vertAlign val="superscript"/>
      <sz val="10"/>
      <name val="Arial"/>
      <family val="2"/>
    </font>
    <font>
      <i/>
      <sz val="10"/>
      <name val="Arial"/>
      <family val="2"/>
    </font>
    <font>
      <sz val="10"/>
      <name val="Arial Narrow"/>
      <family val="2"/>
    </font>
    <font>
      <sz val="10"/>
      <color indexed="63"/>
      <name val="Arial"/>
      <family val="2"/>
    </font>
    <font>
      <b/>
      <sz val="12"/>
      <name val="Arial"/>
      <family val="2"/>
    </font>
    <font>
      <i/>
      <sz val="10"/>
      <name val="ArialMT"/>
      <family val="2"/>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5">
    <xf numFmtId="164" fontId="0" fillId="0" borderId="0" xfId="0" applyAlignment="1">
      <alignment/>
    </xf>
    <xf numFmtId="164" fontId="0" fillId="0" borderId="0" xfId="0" applyAlignment="1">
      <alignment/>
    </xf>
    <xf numFmtId="164" fontId="0" fillId="0" borderId="0" xfId="0" applyFont="1" applyAlignment="1">
      <alignment/>
    </xf>
    <xf numFmtId="164" fontId="1" fillId="0" borderId="0" xfId="0" applyFont="1" applyAlignment="1">
      <alignment/>
    </xf>
    <xf numFmtId="164" fontId="1" fillId="0" borderId="0" xfId="0" applyFont="1" applyAlignment="1">
      <alignment/>
    </xf>
    <xf numFmtId="164" fontId="1" fillId="0" borderId="0" xfId="0" applyFont="1" applyBorder="1" applyAlignment="1">
      <alignment/>
    </xf>
    <xf numFmtId="164" fontId="0" fillId="0" borderId="0" xfId="0" applyFont="1" applyBorder="1" applyAlignment="1">
      <alignment/>
    </xf>
    <xf numFmtId="165" fontId="0" fillId="0" borderId="0" xfId="0" applyNumberFormat="1" applyFont="1" applyAlignment="1">
      <alignment/>
    </xf>
    <xf numFmtId="166" fontId="0" fillId="0" borderId="0" xfId="0" applyNumberFormat="1" applyFont="1" applyBorder="1" applyAlignment="1">
      <alignment/>
    </xf>
    <xf numFmtId="167" fontId="0" fillId="0" borderId="0" xfId="0" applyNumberFormat="1" applyFont="1" applyAlignment="1">
      <alignment/>
    </xf>
    <xf numFmtId="166" fontId="0" fillId="0" borderId="0" xfId="0" applyNumberFormat="1" applyAlignment="1">
      <alignment/>
    </xf>
    <xf numFmtId="164" fontId="0" fillId="0" borderId="0" xfId="0" applyFont="1" applyFill="1" applyAlignment="1">
      <alignment/>
    </xf>
    <xf numFmtId="164" fontId="0" fillId="0" borderId="0" xfId="0" applyFont="1" applyAlignment="1">
      <alignment/>
    </xf>
    <xf numFmtId="168" fontId="0" fillId="0" borderId="0" xfId="0" applyNumberFormat="1" applyFont="1" applyAlignment="1">
      <alignment/>
    </xf>
    <xf numFmtId="166" fontId="0" fillId="0" borderId="0" xfId="0" applyNumberFormat="1" applyFont="1" applyBorder="1" applyAlignment="1">
      <alignment/>
    </xf>
    <xf numFmtId="164" fontId="0" fillId="0" borderId="0" xfId="0" applyFont="1" applyFill="1" applyAlignment="1">
      <alignment/>
    </xf>
    <xf numFmtId="164" fontId="0" fillId="0" borderId="0" xfId="0" applyFont="1" applyAlignment="1">
      <alignment/>
    </xf>
    <xf numFmtId="164" fontId="0" fillId="0" borderId="0" xfId="0" applyNumberFormat="1" applyAlignment="1">
      <alignment/>
    </xf>
    <xf numFmtId="169" fontId="0" fillId="0" borderId="0" xfId="0" applyNumberFormat="1" applyAlignment="1">
      <alignment/>
    </xf>
    <xf numFmtId="164" fontId="0" fillId="0" borderId="0" xfId="0" applyFont="1" applyBorder="1" applyAlignment="1">
      <alignment/>
    </xf>
    <xf numFmtId="164" fontId="2" fillId="0" borderId="0" xfId="0" applyFont="1" applyAlignment="1">
      <alignment/>
    </xf>
    <xf numFmtId="164" fontId="0" fillId="0" borderId="0" xfId="0" applyFont="1" applyAlignment="1">
      <alignment/>
    </xf>
    <xf numFmtId="164" fontId="0" fillId="0" borderId="0" xfId="0" applyFont="1" applyFill="1" applyAlignment="1">
      <alignment/>
    </xf>
    <xf numFmtId="164" fontId="0" fillId="0" borderId="0" xfId="0" applyFont="1" applyFill="1" applyAlignment="1">
      <alignment horizontal="center"/>
    </xf>
    <xf numFmtId="166" fontId="0" fillId="0" borderId="0" xfId="0" applyNumberFormat="1" applyFont="1" applyAlignment="1">
      <alignment/>
    </xf>
    <xf numFmtId="169" fontId="0" fillId="0" borderId="0" xfId="0" applyNumberFormat="1" applyFont="1" applyBorder="1" applyAlignment="1">
      <alignment/>
    </xf>
    <xf numFmtId="166" fontId="0" fillId="0" borderId="0" xfId="0" applyNumberFormat="1" applyFont="1" applyBorder="1" applyAlignment="1">
      <alignment horizontal="right"/>
    </xf>
    <xf numFmtId="170" fontId="0" fillId="0" borderId="0" xfId="0" applyNumberFormat="1" applyFont="1" applyAlignment="1">
      <alignment/>
    </xf>
    <xf numFmtId="171" fontId="0" fillId="0" borderId="0" xfId="0" applyNumberFormat="1" applyFont="1" applyAlignment="1">
      <alignment/>
    </xf>
    <xf numFmtId="170" fontId="0" fillId="0" borderId="0" xfId="0" applyNumberFormat="1" applyAlignment="1">
      <alignment/>
    </xf>
    <xf numFmtId="164" fontId="0" fillId="0" borderId="0" xfId="0" applyFont="1" applyBorder="1" applyAlignment="1">
      <alignment/>
    </xf>
    <xf numFmtId="168" fontId="0" fillId="0" borderId="0" xfId="0" applyNumberFormat="1" applyAlignment="1">
      <alignment/>
    </xf>
    <xf numFmtId="169" fontId="0" fillId="0" borderId="0" xfId="0" applyNumberFormat="1" applyFont="1" applyAlignment="1">
      <alignment/>
    </xf>
    <xf numFmtId="168" fontId="0" fillId="0" borderId="0" xfId="0" applyNumberFormat="1" applyAlignment="1">
      <alignment/>
    </xf>
    <xf numFmtId="169" fontId="0" fillId="0" borderId="0" xfId="0" applyNumberFormat="1" applyFont="1" applyAlignment="1">
      <alignment/>
    </xf>
    <xf numFmtId="164" fontId="4" fillId="0" borderId="0" xfId="0" applyFont="1" applyAlignment="1">
      <alignment/>
    </xf>
    <xf numFmtId="164" fontId="0" fillId="0" borderId="0" xfId="0" applyFont="1" applyAlignment="1">
      <alignment horizontal="center"/>
    </xf>
    <xf numFmtId="172" fontId="0" fillId="0" borderId="0" xfId="0" applyNumberFormat="1" applyAlignment="1">
      <alignment/>
    </xf>
    <xf numFmtId="164" fontId="0" fillId="0" borderId="0" xfId="0" applyFont="1" applyAlignment="1">
      <alignment horizontal="center" wrapText="1"/>
    </xf>
    <xf numFmtId="172" fontId="0" fillId="0" borderId="0" xfId="0" applyNumberFormat="1" applyFont="1" applyFill="1" applyBorder="1" applyAlignment="1">
      <alignment/>
    </xf>
    <xf numFmtId="172" fontId="0" fillId="0" borderId="0" xfId="0" applyNumberFormat="1" applyFont="1" applyAlignment="1">
      <alignment/>
    </xf>
    <xf numFmtId="164" fontId="1" fillId="0" borderId="0" xfId="0" applyFont="1" applyAlignment="1">
      <alignment horizontal="center"/>
    </xf>
    <xf numFmtId="164" fontId="4" fillId="0" borderId="0" xfId="0" applyFont="1" applyBorder="1" applyAlignment="1">
      <alignment/>
    </xf>
    <xf numFmtId="164" fontId="0" fillId="0" borderId="0" xfId="0" applyFont="1" applyFill="1" applyAlignment="1">
      <alignment horizontal="center"/>
    </xf>
    <xf numFmtId="167" fontId="0" fillId="0" borderId="0" xfId="0" applyNumberFormat="1" applyFont="1" applyAlignment="1">
      <alignment/>
    </xf>
    <xf numFmtId="167" fontId="0" fillId="0" borderId="0" xfId="0" applyNumberFormat="1" applyAlignment="1">
      <alignment/>
    </xf>
    <xf numFmtId="165" fontId="0" fillId="0" borderId="0" xfId="0" applyNumberFormat="1" applyAlignment="1">
      <alignment/>
    </xf>
    <xf numFmtId="164" fontId="0" fillId="0" borderId="0" xfId="0" applyFont="1" applyFill="1" applyBorder="1" applyAlignment="1">
      <alignment/>
    </xf>
    <xf numFmtId="173" fontId="0" fillId="0" borderId="0" xfId="0" applyNumberFormat="1" applyFont="1" applyAlignment="1">
      <alignment/>
    </xf>
    <xf numFmtId="164" fontId="0" fillId="0" borderId="0" xfId="0" applyNumberFormat="1" applyFont="1" applyAlignment="1">
      <alignment horizontal="center"/>
    </xf>
    <xf numFmtId="164" fontId="0" fillId="0" borderId="0" xfId="0" applyFont="1" applyAlignment="1">
      <alignment horizontal="center"/>
    </xf>
    <xf numFmtId="164" fontId="0" fillId="0" borderId="0" xfId="0" applyNumberFormat="1" applyFont="1" applyAlignment="1">
      <alignment/>
    </xf>
    <xf numFmtId="164" fontId="0" fillId="0" borderId="1" xfId="0" applyFont="1" applyBorder="1" applyAlignment="1">
      <alignment horizontal="center"/>
    </xf>
    <xf numFmtId="172" fontId="0" fillId="0" borderId="1" xfId="0" applyNumberFormat="1" applyFont="1" applyBorder="1" applyAlignment="1">
      <alignment horizontal="right"/>
    </xf>
    <xf numFmtId="164" fontId="0" fillId="0" borderId="1" xfId="0" applyFont="1" applyBorder="1" applyAlignment="1">
      <alignment/>
    </xf>
    <xf numFmtId="164" fontId="0" fillId="0" borderId="0" xfId="0" applyAlignment="1">
      <alignment/>
    </xf>
    <xf numFmtId="164" fontId="0" fillId="0" borderId="0" xfId="0" applyFont="1" applyBorder="1" applyAlignment="1">
      <alignment horizontal="center"/>
    </xf>
    <xf numFmtId="164" fontId="0" fillId="0" borderId="0" xfId="0" applyFont="1" applyFill="1" applyAlignment="1">
      <alignment horizontal="right"/>
    </xf>
    <xf numFmtId="164" fontId="0" fillId="0" borderId="0" xfId="0" applyFont="1" applyFill="1" applyAlignment="1">
      <alignment/>
    </xf>
    <xf numFmtId="164" fontId="0" fillId="0" borderId="0" xfId="0" applyFont="1" applyBorder="1" applyAlignment="1">
      <alignment horizontal="center"/>
    </xf>
    <xf numFmtId="164" fontId="0" fillId="0" borderId="0" xfId="0" applyFont="1" applyFill="1" applyBorder="1" applyAlignment="1">
      <alignment horizontal="center"/>
    </xf>
    <xf numFmtId="164" fontId="0" fillId="0" borderId="0" xfId="0" applyFont="1" applyFill="1" applyBorder="1" applyAlignment="1">
      <alignment/>
    </xf>
    <xf numFmtId="164" fontId="5" fillId="0" borderId="0" xfId="0" applyFont="1" applyFill="1" applyAlignment="1">
      <alignment horizontal="right"/>
    </xf>
    <xf numFmtId="164" fontId="5" fillId="0" borderId="0" xfId="0" applyFont="1" applyFill="1" applyAlignment="1">
      <alignment horizontal="center"/>
    </xf>
    <xf numFmtId="164" fontId="0" fillId="0" borderId="0" xfId="0" applyFont="1" applyAlignment="1">
      <alignment horizontal="right"/>
    </xf>
    <xf numFmtId="164" fontId="1" fillId="0" borderId="0" xfId="0" applyFont="1" applyFill="1" applyAlignment="1">
      <alignment horizontal="center"/>
    </xf>
    <xf numFmtId="164" fontId="1" fillId="0" borderId="0" xfId="0" applyFont="1" applyFill="1" applyAlignment="1">
      <alignment/>
    </xf>
    <xf numFmtId="164" fontId="1" fillId="0" borderId="0" xfId="0" applyFont="1" applyBorder="1" applyAlignment="1">
      <alignment horizontal="center"/>
    </xf>
    <xf numFmtId="164" fontId="4" fillId="0" borderId="0" xfId="0" applyFont="1" applyAlignment="1">
      <alignment/>
    </xf>
    <xf numFmtId="172" fontId="6" fillId="0" borderId="0" xfId="0" applyNumberFormat="1" applyFont="1" applyBorder="1" applyAlignment="1">
      <alignment horizontal="right"/>
    </xf>
    <xf numFmtId="172" fontId="0" fillId="0" borderId="0" xfId="0" applyNumberFormat="1" applyFont="1" applyFill="1" applyBorder="1" applyAlignment="1">
      <alignment horizontal="right"/>
    </xf>
    <xf numFmtId="172" fontId="0" fillId="0" borderId="0" xfId="0" applyNumberFormat="1" applyFont="1" applyAlignment="1">
      <alignment/>
    </xf>
    <xf numFmtId="164" fontId="0" fillId="0" borderId="0" xfId="0" applyFont="1" applyBorder="1" applyAlignment="1">
      <alignment horizontal="right"/>
    </xf>
    <xf numFmtId="164" fontId="1" fillId="0" borderId="0" xfId="0" applyFont="1" applyBorder="1" applyAlignment="1">
      <alignment/>
    </xf>
    <xf numFmtId="164" fontId="6" fillId="0" borderId="0" xfId="0" applyFont="1" applyBorder="1" applyAlignment="1">
      <alignment/>
    </xf>
    <xf numFmtId="164" fontId="7" fillId="0" borderId="0" xfId="0" applyFont="1" applyAlignment="1">
      <alignment/>
    </xf>
    <xf numFmtId="164" fontId="1" fillId="0" borderId="0" xfId="0" applyFont="1" applyAlignment="1">
      <alignment/>
    </xf>
    <xf numFmtId="172" fontId="0" fillId="0" borderId="0" xfId="0" applyNumberFormat="1" applyFont="1" applyFill="1" applyAlignment="1">
      <alignment/>
    </xf>
    <xf numFmtId="173" fontId="0" fillId="0" borderId="0" xfId="0" applyNumberFormat="1" applyFont="1" applyAlignment="1">
      <alignment/>
    </xf>
    <xf numFmtId="173" fontId="0" fillId="0" borderId="0" xfId="0" applyNumberFormat="1" applyAlignment="1">
      <alignment/>
    </xf>
    <xf numFmtId="172" fontId="0" fillId="0" borderId="0" xfId="0" applyNumberFormat="1" applyFont="1" applyFill="1" applyBorder="1" applyAlignment="1">
      <alignment/>
    </xf>
    <xf numFmtId="164" fontId="0" fillId="0" borderId="0" xfId="0" applyAlignment="1">
      <alignment horizontal="center"/>
    </xf>
    <xf numFmtId="172" fontId="4" fillId="0" borderId="0" xfId="0" applyNumberFormat="1" applyFont="1" applyAlignment="1">
      <alignment/>
    </xf>
    <xf numFmtId="172" fontId="4"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Fill="1" applyBorder="1" applyAlignment="1">
      <alignment horizontal="right"/>
    </xf>
    <xf numFmtId="172" fontId="0" fillId="0" borderId="0" xfId="0" applyNumberFormat="1" applyFont="1" applyBorder="1" applyAlignment="1">
      <alignment/>
    </xf>
    <xf numFmtId="172" fontId="4" fillId="0" borderId="0" xfId="0" applyNumberFormat="1" applyFont="1" applyBorder="1" applyAlignment="1">
      <alignment/>
    </xf>
    <xf numFmtId="172" fontId="4" fillId="0" borderId="0" xfId="0" applyNumberFormat="1" applyFont="1" applyAlignment="1">
      <alignment/>
    </xf>
    <xf numFmtId="166" fontId="0" fillId="0" borderId="0" xfId="0" applyNumberFormat="1" applyFont="1" applyFill="1" applyBorder="1" applyAlignment="1">
      <alignment horizontal="right"/>
    </xf>
    <xf numFmtId="172" fontId="0" fillId="0" borderId="0" xfId="0" applyNumberFormat="1" applyFont="1" applyAlignment="1">
      <alignment horizontal="right"/>
    </xf>
    <xf numFmtId="164" fontId="0" fillId="0" borderId="0" xfId="0" applyFont="1" applyFill="1" applyAlignment="1">
      <alignment horizontal="right"/>
    </xf>
    <xf numFmtId="172" fontId="8" fillId="0" borderId="0" xfId="0" applyNumberFormat="1" applyFont="1" applyAlignment="1">
      <alignment/>
    </xf>
    <xf numFmtId="172" fontId="4" fillId="0" borderId="0" xfId="0" applyNumberFormat="1" applyFont="1" applyFill="1" applyBorder="1" applyAlignment="1">
      <alignment/>
    </xf>
    <xf numFmtId="164"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68"/>
  <sheetViews>
    <sheetView tabSelected="1" zoomScale="80" zoomScaleNormal="80" workbookViewId="0" topLeftCell="A1">
      <selection activeCell="A1" sqref="A1"/>
    </sheetView>
  </sheetViews>
  <sheetFormatPr defaultColWidth="12.57421875" defaultRowHeight="12.75"/>
  <cols>
    <col min="1" max="1" width="11.57421875" style="1" customWidth="1"/>
    <col min="2" max="2" width="31.00390625" style="2" customWidth="1"/>
    <col min="3" max="3" width="11.57421875" style="2" customWidth="1"/>
    <col min="4" max="4" width="10.7109375" style="2" customWidth="1"/>
    <col min="5" max="5" width="11.57421875" style="2" customWidth="1"/>
    <col min="6" max="6" width="23.421875" style="2" customWidth="1"/>
    <col min="7" max="7" width="21.421875" style="2" customWidth="1"/>
    <col min="8" max="8" width="15.421875" style="2" customWidth="1"/>
    <col min="9" max="9" width="11.00390625" style="2" customWidth="1"/>
    <col min="10" max="10" width="11.57421875" style="2" customWidth="1"/>
    <col min="11" max="11" width="11.28125" style="2" customWidth="1"/>
    <col min="12" max="12" width="11.57421875" style="2" customWidth="1"/>
    <col min="13" max="13" width="26.57421875" style="2" customWidth="1"/>
    <col min="14" max="16384" width="11.57421875" style="2" customWidth="1"/>
  </cols>
  <sheetData>
    <row r="1" spans="1:256" ht="12.75">
      <c r="A1" s="3">
        <v>1913</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4" t="s">
        <v>0</v>
      </c>
      <c r="B2" s="4" t="s">
        <v>1</v>
      </c>
      <c r="C2" s="4" t="s">
        <v>2</v>
      </c>
      <c r="D2" s="4" t="s">
        <v>3</v>
      </c>
      <c r="E2" s="5" t="s">
        <v>4</v>
      </c>
      <c r="F2" s="4" t="s">
        <v>5</v>
      </c>
      <c r="G2" s="4" t="s">
        <v>6</v>
      </c>
      <c r="H2" s="4" t="s">
        <v>7</v>
      </c>
      <c r="I2" s="4" t="s">
        <v>8</v>
      </c>
      <c r="J2" s="5" t="s">
        <v>4</v>
      </c>
      <c r="K2" s="4" t="s">
        <v>9</v>
      </c>
      <c r="L2" s="4" t="s">
        <v>10</v>
      </c>
      <c r="M2" s="4" t="s">
        <v>11</v>
      </c>
      <c r="N2" s="4" t="s">
        <v>12</v>
      </c>
      <c r="O2" s="4" t="s">
        <v>13</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6">
        <v>1</v>
      </c>
      <c r="B3" s="2" t="s">
        <v>14</v>
      </c>
      <c r="C3" s="7">
        <v>174.1</v>
      </c>
      <c r="D3" s="8">
        <v>0.3229166666666667</v>
      </c>
      <c r="E3"/>
      <c r="F3" s="6"/>
      <c r="G3" s="6" t="s">
        <v>15</v>
      </c>
      <c r="H3"/>
      <c r="I3" s="9">
        <f>C3/D3/24</f>
        <v>22.46451612903226</v>
      </c>
      <c r="J3"/>
      <c r="K3" s="2" t="s">
        <v>16</v>
      </c>
      <c r="L3" s="1" t="s">
        <v>17</v>
      </c>
      <c r="M3" s="2" t="s">
        <v>18</v>
      </c>
      <c r="N3" s="2">
        <v>7</v>
      </c>
      <c r="O3" s="2">
        <f>N3*C3</f>
        <v>1218.7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6">
        <v>2</v>
      </c>
      <c r="B4" s="2" t="s">
        <v>19</v>
      </c>
      <c r="C4" s="7">
        <v>174.1</v>
      </c>
      <c r="D4" s="10">
        <v>0.2951388888888889</v>
      </c>
      <c r="E4"/>
      <c r="F4"/>
      <c r="G4" s="6" t="s">
        <v>15</v>
      </c>
      <c r="H4"/>
      <c r="I4" s="9">
        <f>C4/D4/24</f>
        <v>24.578823529411764</v>
      </c>
      <c r="J4"/>
      <c r="K4" s="2" t="s">
        <v>20</v>
      </c>
      <c r="L4" s="1" t="s">
        <v>17</v>
      </c>
      <c r="M4" s="2" t="s">
        <v>18</v>
      </c>
      <c r="N4" s="2">
        <v>7</v>
      </c>
      <c r="O4" s="2">
        <f>N4*C4</f>
        <v>1218.7</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0" ht="12.75">
      <c r="A5" s="6"/>
      <c r="B5" s="1" t="s">
        <v>21</v>
      </c>
      <c r="C5">
        <v>110</v>
      </c>
      <c r="D5" s="8">
        <v>0.14583333333333334</v>
      </c>
      <c r="E5"/>
      <c r="F5" s="6"/>
      <c r="G5" s="11" t="s">
        <v>22</v>
      </c>
      <c r="H5"/>
      <c r="I5" s="9">
        <f>C5/D5/24</f>
        <v>31.428571428571427</v>
      </c>
      <c r="J5"/>
      <c r="K5" s="2" t="s">
        <v>16</v>
      </c>
      <c r="L5" s="1" t="s">
        <v>17</v>
      </c>
      <c r="M5" s="12" t="s">
        <v>23</v>
      </c>
      <c r="N5" s="2">
        <v>6</v>
      </c>
      <c r="O5" s="2">
        <f>N5*C5</f>
        <v>660</v>
      </c>
      <c r="S5"/>
      <c r="T5"/>
    </row>
    <row r="6" spans="1:256" ht="12.75">
      <c r="A6"/>
      <c r="B6" s="1" t="s">
        <v>24</v>
      </c>
      <c r="C6">
        <v>110</v>
      </c>
      <c r="D6" s="8">
        <v>0.14583333333333334</v>
      </c>
      <c r="E6"/>
      <c r="F6"/>
      <c r="G6" s="11" t="s">
        <v>22</v>
      </c>
      <c r="H6"/>
      <c r="I6" s="9">
        <f>C6/D6/24</f>
        <v>31.428571428571427</v>
      </c>
      <c r="J6"/>
      <c r="K6" s="2" t="s">
        <v>20</v>
      </c>
      <c r="L6" s="1" t="s">
        <v>17</v>
      </c>
      <c r="M6" s="12" t="s">
        <v>23</v>
      </c>
      <c r="N6" s="2">
        <v>6</v>
      </c>
      <c r="O6" s="2">
        <f>N6*C6</f>
        <v>660</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 r="A7"/>
      <c r="B7" s="1"/>
      <c r="C7"/>
      <c r="D7" s="8"/>
      <c r="E7"/>
      <c r="F7"/>
      <c r="G7" s="11"/>
      <c r="H7"/>
      <c r="I7" s="9"/>
      <c r="J7"/>
      <c r="L7" s="1"/>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c r="B8" s="1"/>
      <c r="C8"/>
      <c r="D8" s="8"/>
      <c r="E8"/>
      <c r="F8"/>
      <c r="G8" s="11"/>
      <c r="H8"/>
      <c r="I8" s="9"/>
      <c r="J8"/>
      <c r="L8" s="1" t="s">
        <v>17</v>
      </c>
      <c r="M8" s="2" t="s">
        <v>18</v>
      </c>
      <c r="N8" s="2">
        <f>N4+N3</f>
        <v>14</v>
      </c>
      <c r="O8" s="2">
        <f>O4+O3</f>
        <v>2437.4</v>
      </c>
      <c r="P8" s="13">
        <f>N8/N10</f>
        <v>0.5384615384615384</v>
      </c>
      <c r="Q8" s="13">
        <f>O8/O10</f>
        <v>0.648693245329217</v>
      </c>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 r="A9"/>
      <c r="B9" s="1"/>
      <c r="C9"/>
      <c r="D9" s="8"/>
      <c r="E9"/>
      <c r="F9"/>
      <c r="G9" s="11"/>
      <c r="H9"/>
      <c r="I9" s="9"/>
      <c r="J9"/>
      <c r="L9" s="1" t="s">
        <v>17</v>
      </c>
      <c r="M9" s="12" t="s">
        <v>23</v>
      </c>
      <c r="N9" s="2">
        <f>N6+N5</f>
        <v>12</v>
      </c>
      <c r="O9" s="2">
        <f>O6+O5</f>
        <v>1320</v>
      </c>
      <c r="P9" s="13">
        <f>N9/N10</f>
        <v>0.46153846153846156</v>
      </c>
      <c r="Q9" s="13">
        <f>O9/O10</f>
        <v>0.351306754670783</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0" ht="12.75">
      <c r="B10"/>
      <c r="C10" s="6"/>
      <c r="D10" s="6"/>
      <c r="E10"/>
      <c r="F10" s="6"/>
      <c r="G10" s="6"/>
      <c r="H10" s="6"/>
      <c r="J10"/>
      <c r="L10" s="1" t="s">
        <v>17</v>
      </c>
      <c r="M10" t="s">
        <v>25</v>
      </c>
      <c r="N10" s="2">
        <f>N9+N8</f>
        <v>26</v>
      </c>
      <c r="O10" s="2">
        <f>O9+O8</f>
        <v>3757.4</v>
      </c>
      <c r="S10"/>
      <c r="T10"/>
    </row>
    <row r="11" spans="2:21" ht="12.75">
      <c r="B11"/>
      <c r="C11"/>
      <c r="D11"/>
      <c r="E11"/>
      <c r="F11"/>
      <c r="G11"/>
      <c r="H11"/>
      <c r="I11"/>
      <c r="J11"/>
      <c r="K11"/>
      <c r="O11"/>
      <c r="P11"/>
      <c r="T11"/>
      <c r="U11"/>
    </row>
    <row r="12" spans="1:256" ht="12.75">
      <c r="A12" s="3">
        <v>1931</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4" t="s">
        <v>0</v>
      </c>
      <c r="B13" s="4" t="s">
        <v>1</v>
      </c>
      <c r="C13" s="4" t="s">
        <v>2</v>
      </c>
      <c r="D13" s="4" t="s">
        <v>3</v>
      </c>
      <c r="E13" s="5" t="s">
        <v>4</v>
      </c>
      <c r="F13" s="4" t="s">
        <v>5</v>
      </c>
      <c r="G13" s="4" t="s">
        <v>6</v>
      </c>
      <c r="H13" s="4" t="s">
        <v>7</v>
      </c>
      <c r="I13" s="4" t="s">
        <v>8</v>
      </c>
      <c r="J13" s="5" t="s">
        <v>4</v>
      </c>
      <c r="K13" s="4" t="s">
        <v>9</v>
      </c>
      <c r="L13" s="4" t="s">
        <v>10</v>
      </c>
      <c r="M13" s="4" t="s">
        <v>11</v>
      </c>
      <c r="N13" s="4" t="s">
        <v>12</v>
      </c>
      <c r="O13" s="4" t="s">
        <v>13</v>
      </c>
      <c r="P13" s="4" t="s">
        <v>26</v>
      </c>
      <c r="Q13" s="4" t="s">
        <v>27</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5" ht="12.75">
      <c r="A14" s="6">
        <v>1</v>
      </c>
      <c r="B14" s="2" t="s">
        <v>14</v>
      </c>
      <c r="C14" s="7">
        <v>174.1</v>
      </c>
      <c r="D14" s="8"/>
      <c r="E14"/>
      <c r="F14" s="6"/>
      <c r="G14" s="6" t="s">
        <v>28</v>
      </c>
      <c r="H14" s="6"/>
      <c r="I14" s="9"/>
      <c r="J14"/>
      <c r="K14" s="2" t="s">
        <v>16</v>
      </c>
      <c r="L14" s="1" t="s">
        <v>29</v>
      </c>
      <c r="M14" s="2" t="s">
        <v>18</v>
      </c>
      <c r="N14" s="2">
        <v>1</v>
      </c>
      <c r="O14" s="2">
        <f>N14*C14</f>
        <v>174.1</v>
      </c>
    </row>
    <row r="15" spans="1:15" ht="12.75">
      <c r="A15" s="6">
        <v>2</v>
      </c>
      <c r="B15" s="2" t="s">
        <v>19</v>
      </c>
      <c r="C15" s="7">
        <v>174.1</v>
      </c>
      <c r="D15" s="8"/>
      <c r="E15"/>
      <c r="F15" s="6"/>
      <c r="G15" s="6" t="s">
        <v>28</v>
      </c>
      <c r="H15" s="6"/>
      <c r="I15" s="9"/>
      <c r="J15"/>
      <c r="K15" s="2" t="s">
        <v>20</v>
      </c>
      <c r="L15" s="1" t="s">
        <v>29</v>
      </c>
      <c r="M15" s="2" t="s">
        <v>18</v>
      </c>
      <c r="N15" s="2">
        <v>1</v>
      </c>
      <c r="O15" s="2">
        <f>N15*C15</f>
        <v>174.1</v>
      </c>
    </row>
    <row r="16" spans="1:15" ht="12.75">
      <c r="A16" s="1">
        <v>1</v>
      </c>
      <c r="B16" s="1" t="s">
        <v>30</v>
      </c>
      <c r="C16">
        <v>400</v>
      </c>
      <c r="D16" s="14">
        <v>0.4583333333333333</v>
      </c>
      <c r="E16" s="10">
        <f>D16-1/24</f>
        <v>0.41666666666666663</v>
      </c>
      <c r="F16" s="4" t="s">
        <v>31</v>
      </c>
      <c r="G16" s="15" t="s">
        <v>32</v>
      </c>
      <c r="H16" s="6" t="s">
        <v>33</v>
      </c>
      <c r="I16" s="9">
        <f>C16/D16/24</f>
        <v>36.36363636363637</v>
      </c>
      <c r="J16" s="9">
        <f>C16/E16/24</f>
        <v>40.00000000000001</v>
      </c>
      <c r="K16" s="2" t="s">
        <v>20</v>
      </c>
      <c r="L16" s="1" t="s">
        <v>29</v>
      </c>
      <c r="M16" s="2" t="s">
        <v>34</v>
      </c>
      <c r="N16" s="2">
        <v>1</v>
      </c>
      <c r="O16" s="2">
        <f>N16*C16</f>
        <v>400</v>
      </c>
    </row>
    <row r="17" spans="1:15" ht="12.75">
      <c r="A17" s="1">
        <v>2</v>
      </c>
      <c r="B17" s="1" t="s">
        <v>35</v>
      </c>
      <c r="C17">
        <v>400</v>
      </c>
      <c r="D17" s="8">
        <v>0.4583333333333333</v>
      </c>
      <c r="E17" s="10">
        <f>D17-1/24</f>
        <v>0.41666666666666663</v>
      </c>
      <c r="F17" s="4" t="s">
        <v>31</v>
      </c>
      <c r="G17" s="15" t="s">
        <v>36</v>
      </c>
      <c r="H17" s="6" t="s">
        <v>33</v>
      </c>
      <c r="I17" s="9">
        <f>C17/D17/24</f>
        <v>36.36363636363637</v>
      </c>
      <c r="J17" s="9">
        <f>C17/E17/24</f>
        <v>40.00000000000001</v>
      </c>
      <c r="K17" s="2" t="s">
        <v>16</v>
      </c>
      <c r="L17" s="1" t="s">
        <v>29</v>
      </c>
      <c r="M17" s="2" t="s">
        <v>34</v>
      </c>
      <c r="N17" s="2">
        <v>1</v>
      </c>
      <c r="O17" s="2">
        <f>N17*C17</f>
        <v>400</v>
      </c>
    </row>
    <row r="18" spans="1:15" ht="12.75">
      <c r="A18">
        <v>3</v>
      </c>
      <c r="B18" s="1" t="s">
        <v>37</v>
      </c>
      <c r="C18">
        <v>357</v>
      </c>
      <c r="D18" s="10">
        <v>0.40625</v>
      </c>
      <c r="E18" s="10">
        <f>D18-1/48</f>
        <v>0.3854166666666667</v>
      </c>
      <c r="F18" s="4" t="s">
        <v>38</v>
      </c>
      <c r="G18" s="15" t="s">
        <v>39</v>
      </c>
      <c r="H18" s="6" t="s">
        <v>33</v>
      </c>
      <c r="I18" s="9">
        <f>C18/D18/24</f>
        <v>36.61538461538461</v>
      </c>
      <c r="J18" s="9">
        <f>C18/E18/24</f>
        <v>38.59459459459459</v>
      </c>
      <c r="K18" s="2" t="s">
        <v>20</v>
      </c>
      <c r="L18" s="1" t="s">
        <v>29</v>
      </c>
      <c r="M18" s="2" t="s">
        <v>34</v>
      </c>
      <c r="N18" s="2">
        <v>1</v>
      </c>
      <c r="O18" s="2">
        <f>N18*C18</f>
        <v>357</v>
      </c>
    </row>
    <row r="19" spans="1:15" ht="12.75">
      <c r="A19">
        <v>3</v>
      </c>
      <c r="B19" s="1" t="s">
        <v>37</v>
      </c>
      <c r="C19">
        <v>357</v>
      </c>
      <c r="D19" s="10">
        <v>0.40625</v>
      </c>
      <c r="E19" s="10">
        <f>D19-1/48</f>
        <v>0.3854166666666667</v>
      </c>
      <c r="F19" s="4" t="s">
        <v>31</v>
      </c>
      <c r="G19" s="15" t="s">
        <v>40</v>
      </c>
      <c r="H19" s="6" t="s">
        <v>33</v>
      </c>
      <c r="I19" s="9">
        <f>C19/D19/24</f>
        <v>36.61538461538461</v>
      </c>
      <c r="J19" s="9">
        <f>C19/E19/24</f>
        <v>38.59459459459459</v>
      </c>
      <c r="K19" s="2" t="s">
        <v>20</v>
      </c>
      <c r="L19" s="1" t="s">
        <v>29</v>
      </c>
      <c r="M19" s="2" t="s">
        <v>34</v>
      </c>
      <c r="N19" s="2">
        <v>1</v>
      </c>
      <c r="O19" s="2">
        <f>N19*C19</f>
        <v>357</v>
      </c>
    </row>
    <row r="20" spans="1:15" ht="12.75">
      <c r="A20" s="1">
        <v>4</v>
      </c>
      <c r="B20" s="6" t="s">
        <v>41</v>
      </c>
      <c r="C20">
        <v>357</v>
      </c>
      <c r="D20" s="8">
        <v>0.40625</v>
      </c>
      <c r="E20" s="10">
        <f>D20-1/48</f>
        <v>0.3854166666666667</v>
      </c>
      <c r="F20" s="4" t="s">
        <v>31</v>
      </c>
      <c r="G20" s="15" t="s">
        <v>42</v>
      </c>
      <c r="H20" s="6" t="s">
        <v>33</v>
      </c>
      <c r="I20" s="9">
        <f>C20/D20/24</f>
        <v>36.61538461538461</v>
      </c>
      <c r="J20" s="9">
        <f>C20/E20/24</f>
        <v>38.59459459459459</v>
      </c>
      <c r="K20" s="2" t="s">
        <v>16</v>
      </c>
      <c r="L20" s="1" t="s">
        <v>29</v>
      </c>
      <c r="M20" s="2" t="s">
        <v>34</v>
      </c>
      <c r="N20" s="2">
        <v>1</v>
      </c>
      <c r="O20" s="2">
        <f>N20*C20</f>
        <v>357</v>
      </c>
    </row>
    <row r="21" spans="1:15" ht="12.75">
      <c r="A21" s="1">
        <v>4</v>
      </c>
      <c r="B21" s="6" t="s">
        <v>41</v>
      </c>
      <c r="C21">
        <v>357</v>
      </c>
      <c r="D21" s="8">
        <v>0.40625</v>
      </c>
      <c r="E21" s="10">
        <f>D21-1/48</f>
        <v>0.3854166666666667</v>
      </c>
      <c r="F21" s="4" t="s">
        <v>38</v>
      </c>
      <c r="G21" s="15" t="s">
        <v>43</v>
      </c>
      <c r="H21" s="6" t="s">
        <v>33</v>
      </c>
      <c r="I21" s="9">
        <f>C21/D21/24</f>
        <v>36.61538461538461</v>
      </c>
      <c r="J21" s="9">
        <f>C21/E21/24</f>
        <v>38.59459459459459</v>
      </c>
      <c r="K21" s="2" t="s">
        <v>16</v>
      </c>
      <c r="L21" s="1" t="s">
        <v>29</v>
      </c>
      <c r="M21" s="2" t="s">
        <v>34</v>
      </c>
      <c r="N21" s="2">
        <v>1</v>
      </c>
      <c r="O21" s="2">
        <f>N21*C21</f>
        <v>357</v>
      </c>
    </row>
    <row r="22" spans="1:256" ht="12.75">
      <c r="A22" s="1">
        <v>5</v>
      </c>
      <c r="B22" s="1" t="s">
        <v>30</v>
      </c>
      <c r="C22">
        <v>400</v>
      </c>
      <c r="D22" s="14">
        <v>0.4583333333333333</v>
      </c>
      <c r="E22" s="10">
        <f>D22-1/24</f>
        <v>0.41666666666666663</v>
      </c>
      <c r="F22" s="4" t="s">
        <v>38</v>
      </c>
      <c r="G22" s="15" t="s">
        <v>40</v>
      </c>
      <c r="H22" s="6" t="s">
        <v>33</v>
      </c>
      <c r="I22" s="9">
        <f>C22/D22/24</f>
        <v>36.36363636363637</v>
      </c>
      <c r="J22" s="9">
        <f>C22/E22/24</f>
        <v>40.00000000000001</v>
      </c>
      <c r="K22" s="2" t="s">
        <v>20</v>
      </c>
      <c r="L22" s="1" t="s">
        <v>29</v>
      </c>
      <c r="M22" s="2" t="s">
        <v>34</v>
      </c>
      <c r="N22" s="2">
        <v>1</v>
      </c>
      <c r="O22" s="2">
        <f>N22*C22</f>
        <v>400</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s="1">
        <v>6</v>
      </c>
      <c r="B23" s="1" t="s">
        <v>35</v>
      </c>
      <c r="C23">
        <v>400</v>
      </c>
      <c r="D23" s="8">
        <v>0.4583333333333333</v>
      </c>
      <c r="E23" s="10">
        <f>D23-1/24</f>
        <v>0.41666666666666663</v>
      </c>
      <c r="F23" s="4" t="s">
        <v>38</v>
      </c>
      <c r="G23" s="15" t="s">
        <v>32</v>
      </c>
      <c r="H23" s="6" t="s">
        <v>33</v>
      </c>
      <c r="I23" s="9">
        <f>C23/D23/24</f>
        <v>36.36363636363637</v>
      </c>
      <c r="J23" s="9">
        <f>C23/E23/24</f>
        <v>40.00000000000001</v>
      </c>
      <c r="K23" s="2" t="s">
        <v>16</v>
      </c>
      <c r="L23" s="1" t="s">
        <v>29</v>
      </c>
      <c r="M23" s="2" t="s">
        <v>34</v>
      </c>
      <c r="N23" s="2">
        <v>1</v>
      </c>
      <c r="O23" s="2">
        <f>N23*C23</f>
        <v>400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12.75">
      <c r="A24" s="16">
        <v>7</v>
      </c>
      <c r="B24" t="s">
        <v>44</v>
      </c>
      <c r="C24">
        <v>197</v>
      </c>
      <c r="D24" s="8">
        <v>0.1701388888888889</v>
      </c>
      <c r="E24" s="10">
        <f>D24-1/48</f>
        <v>0.14930555555555555</v>
      </c>
      <c r="F24" s="4" t="s">
        <v>38</v>
      </c>
      <c r="G24" s="15" t="s">
        <v>36</v>
      </c>
      <c r="H24" s="6" t="s">
        <v>33</v>
      </c>
      <c r="I24" s="9">
        <f>C24/D24/24</f>
        <v>48.244897959183675</v>
      </c>
      <c r="J24" s="9">
        <f>C24/E24/24</f>
        <v>54.97674418604652</v>
      </c>
      <c r="K24" s="2" t="s">
        <v>20</v>
      </c>
      <c r="L24" s="1" t="s">
        <v>29</v>
      </c>
      <c r="M24" s="2" t="s">
        <v>34</v>
      </c>
      <c r="N24" s="2">
        <v>1</v>
      </c>
      <c r="O24" s="2">
        <f>N24*C24</f>
        <v>197</v>
      </c>
    </row>
    <row r="25" spans="1:17" ht="12.75">
      <c r="A25" s="1">
        <v>8</v>
      </c>
      <c r="B25" s="1" t="s">
        <v>45</v>
      </c>
      <c r="C25">
        <v>160</v>
      </c>
      <c r="D25" s="8">
        <v>0.1701388888888889</v>
      </c>
      <c r="E25"/>
      <c r="F25" s="4" t="s">
        <v>38</v>
      </c>
      <c r="G25" s="15" t="s">
        <v>36</v>
      </c>
      <c r="H25" s="6" t="s">
        <v>33</v>
      </c>
      <c r="I25" s="9">
        <f>C25/D25/24</f>
        <v>39.183673469387756</v>
      </c>
      <c r="J25" s="9"/>
      <c r="K25" s="2" t="s">
        <v>16</v>
      </c>
      <c r="L25" s="1" t="s">
        <v>29</v>
      </c>
      <c r="M25" s="2" t="s">
        <v>34</v>
      </c>
      <c r="N25" s="2">
        <v>1</v>
      </c>
      <c r="O25" s="2">
        <f>N25*C25</f>
        <v>160</v>
      </c>
      <c r="P25"/>
      <c r="Q25"/>
    </row>
    <row r="26" spans="1:17" ht="12.75">
      <c r="A26" s="16">
        <v>9</v>
      </c>
      <c r="B26" t="s">
        <v>46</v>
      </c>
      <c r="C26">
        <v>160</v>
      </c>
      <c r="D26" s="10">
        <v>0.2361111111111111</v>
      </c>
      <c r="E26"/>
      <c r="F26" s="4" t="s">
        <v>38</v>
      </c>
      <c r="G26" s="15" t="s">
        <v>47</v>
      </c>
      <c r="H26" s="6" t="s">
        <v>33</v>
      </c>
      <c r="I26" s="9">
        <f>C26/D26/24</f>
        <v>28.235294117647058</v>
      </c>
      <c r="J26" s="9"/>
      <c r="K26" s="2" t="s">
        <v>20</v>
      </c>
      <c r="L26" s="1" t="s">
        <v>29</v>
      </c>
      <c r="M26" s="2" t="s">
        <v>34</v>
      </c>
      <c r="N26" s="2">
        <v>1</v>
      </c>
      <c r="O26" s="2">
        <f>N26*C26</f>
        <v>160</v>
      </c>
      <c r="P26"/>
      <c r="Q26"/>
    </row>
    <row r="27" spans="1:17" ht="12.75">
      <c r="A27" s="1">
        <v>10</v>
      </c>
      <c r="B27" s="6" t="s">
        <v>48</v>
      </c>
      <c r="C27">
        <v>197</v>
      </c>
      <c r="D27" s="8">
        <v>0.21875</v>
      </c>
      <c r="E27" s="10">
        <f>D27-1/48</f>
        <v>0.19791666666666666</v>
      </c>
      <c r="F27" s="4" t="s">
        <v>38</v>
      </c>
      <c r="G27" s="15" t="s">
        <v>47</v>
      </c>
      <c r="H27" s="6" t="s">
        <v>33</v>
      </c>
      <c r="I27" s="9">
        <f>C27/D27/24</f>
        <v>37.523809523809526</v>
      </c>
      <c r="J27" s="9">
        <f>C27/E27/24</f>
        <v>41.47368421052632</v>
      </c>
      <c r="K27" s="2" t="s">
        <v>16</v>
      </c>
      <c r="L27" s="1" t="s">
        <v>29</v>
      </c>
      <c r="M27" s="2" t="s">
        <v>34</v>
      </c>
      <c r="N27" s="2">
        <v>1</v>
      </c>
      <c r="O27" s="2">
        <f>N27*C27</f>
        <v>197</v>
      </c>
      <c r="P27"/>
      <c r="Q27"/>
    </row>
    <row r="28" spans="2:17" ht="12.75">
      <c r="B28"/>
      <c r="C28"/>
      <c r="D28"/>
      <c r="E28"/>
      <c r="F28"/>
      <c r="G28"/>
      <c r="H28"/>
      <c r="I28"/>
      <c r="J28"/>
      <c r="K28"/>
      <c r="L28"/>
      <c r="M28"/>
      <c r="N28"/>
      <c r="O28"/>
      <c r="P28"/>
      <c r="Q28"/>
    </row>
    <row r="29" spans="2:17" ht="12.75">
      <c r="B29"/>
      <c r="C29"/>
      <c r="D29"/>
      <c r="E29"/>
      <c r="F29"/>
      <c r="G29"/>
      <c r="H29"/>
      <c r="I29"/>
      <c r="J29"/>
      <c r="K29"/>
      <c r="L29" s="1" t="s">
        <v>29</v>
      </c>
      <c r="M29" s="2" t="s">
        <v>18</v>
      </c>
      <c r="N29" s="2">
        <f>SUM(N14:N15)</f>
        <v>2</v>
      </c>
      <c r="O29" s="2">
        <f>SUM(O14:O15)</f>
        <v>348.2</v>
      </c>
      <c r="P29" s="13">
        <f>N29/N31</f>
        <v>0.14285714285714285</v>
      </c>
      <c r="Q29" s="13">
        <f>O29/O31</f>
        <v>0.08513031147621143</v>
      </c>
    </row>
    <row r="30" spans="1:256" ht="12.75">
      <c r="A30"/>
      <c r="B30"/>
      <c r="C30"/>
      <c r="D30"/>
      <c r="E30"/>
      <c r="F30"/>
      <c r="G30"/>
      <c r="H30"/>
      <c r="I30"/>
      <c r="J30"/>
      <c r="K30"/>
      <c r="L30" t="s">
        <v>29</v>
      </c>
      <c r="M30" s="2" t="s">
        <v>34</v>
      </c>
      <c r="N30" s="2">
        <f>SUM(N16:N27)</f>
        <v>12</v>
      </c>
      <c r="O30" s="2">
        <f>SUM(O16:O27)</f>
        <v>3742</v>
      </c>
      <c r="P30" s="13">
        <f>N30/N31</f>
        <v>0.8571428571428571</v>
      </c>
      <c r="Q30" s="13">
        <f>O30/O31</f>
        <v>0.9148696885237886</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c r="C31"/>
      <c r="D31"/>
      <c r="E31"/>
      <c r="F31"/>
      <c r="G31"/>
      <c r="H31"/>
      <c r="I31"/>
      <c r="J31"/>
      <c r="K31"/>
      <c r="L31" t="s">
        <v>29</v>
      </c>
      <c r="M31" t="s">
        <v>25</v>
      </c>
      <c r="N31" s="2">
        <f>N30+N29</f>
        <v>14</v>
      </c>
      <c r="O31" s="2">
        <f>O30+O29</f>
        <v>4090.2</v>
      </c>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c r="C32"/>
      <c r="D32"/>
      <c r="E32"/>
      <c r="F32"/>
      <c r="G32"/>
      <c r="H32"/>
      <c r="I32"/>
      <c r="J32"/>
      <c r="K32"/>
      <c r="L32"/>
      <c r="M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s="3">
        <v>1933</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s="4" t="s">
        <v>0</v>
      </c>
      <c r="B34" s="4" t="s">
        <v>1</v>
      </c>
      <c r="C34" s="4" t="s">
        <v>2</v>
      </c>
      <c r="D34" s="4" t="s">
        <v>3</v>
      </c>
      <c r="E34" s="5" t="s">
        <v>4</v>
      </c>
      <c r="F34" s="4" t="s">
        <v>5</v>
      </c>
      <c r="G34" s="4" t="s">
        <v>6</v>
      </c>
      <c r="H34" s="4" t="s">
        <v>7</v>
      </c>
      <c r="I34" s="4" t="s">
        <v>8</v>
      </c>
      <c r="J34" s="5" t="s">
        <v>4</v>
      </c>
      <c r="K34" s="4" t="s">
        <v>9</v>
      </c>
      <c r="L34" s="4" t="s">
        <v>10</v>
      </c>
      <c r="M34" s="4" t="s">
        <v>11</v>
      </c>
      <c r="N34" s="4" t="s">
        <v>12</v>
      </c>
      <c r="O34" s="4" t="s">
        <v>13</v>
      </c>
      <c r="P34" s="4" t="s">
        <v>26</v>
      </c>
      <c r="Q34" s="4" t="s">
        <v>27</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5" ht="12.75">
      <c r="A35" s="6">
        <v>1</v>
      </c>
      <c r="B35" s="2" t="s">
        <v>14</v>
      </c>
      <c r="C35" s="7">
        <v>174.1</v>
      </c>
      <c r="D35" s="8"/>
      <c r="E35"/>
      <c r="F35" s="6"/>
      <c r="G35" s="6" t="s">
        <v>28</v>
      </c>
      <c r="H35" s="6"/>
      <c r="I35" s="9"/>
      <c r="J35"/>
      <c r="K35" s="2" t="s">
        <v>16</v>
      </c>
      <c r="L35" s="1" t="s">
        <v>17</v>
      </c>
      <c r="M35" s="2" t="s">
        <v>18</v>
      </c>
      <c r="N35" s="2">
        <v>1</v>
      </c>
      <c r="O35" s="2">
        <f>N35*C35</f>
        <v>174.1</v>
      </c>
    </row>
    <row r="36" spans="1:15" ht="12.75">
      <c r="A36" s="6">
        <v>2</v>
      </c>
      <c r="B36" s="2" t="s">
        <v>19</v>
      </c>
      <c r="C36" s="7">
        <v>174.1</v>
      </c>
      <c r="D36" s="8"/>
      <c r="E36"/>
      <c r="F36" s="6"/>
      <c r="G36" s="6" t="s">
        <v>28</v>
      </c>
      <c r="H36" s="6"/>
      <c r="I36" s="9"/>
      <c r="J36"/>
      <c r="K36" s="2" t="s">
        <v>20</v>
      </c>
      <c r="L36" s="1" t="s">
        <v>17</v>
      </c>
      <c r="M36" s="2" t="s">
        <v>18</v>
      </c>
      <c r="N36" s="2">
        <v>1</v>
      </c>
      <c r="O36" s="2">
        <f>N36*C36</f>
        <v>174.1</v>
      </c>
    </row>
    <row r="37" spans="1:15" ht="12.75">
      <c r="A37" s="1">
        <v>1</v>
      </c>
      <c r="B37" s="1" t="s">
        <v>30</v>
      </c>
      <c r="C37">
        <v>400</v>
      </c>
      <c r="D37" s="14">
        <v>0.4375</v>
      </c>
      <c r="E37" s="10">
        <f>D37-1/24</f>
        <v>0.3958333333333333</v>
      </c>
      <c r="F37" s="4" t="s">
        <v>31</v>
      </c>
      <c r="G37" s="15" t="s">
        <v>36</v>
      </c>
      <c r="H37" s="6" t="s">
        <v>33</v>
      </c>
      <c r="I37" s="9">
        <f>C37/D37/24</f>
        <v>38.095238095238095</v>
      </c>
      <c r="J37" s="9">
        <f>C37/E37/24</f>
        <v>42.10526315789474</v>
      </c>
      <c r="K37" s="2" t="s">
        <v>20</v>
      </c>
      <c r="L37" s="1" t="s">
        <v>17</v>
      </c>
      <c r="M37" s="2" t="s">
        <v>34</v>
      </c>
      <c r="N37" s="2">
        <v>1</v>
      </c>
      <c r="O37" s="2">
        <f>N37*C37</f>
        <v>400</v>
      </c>
    </row>
    <row r="38" spans="1:15" ht="12.75">
      <c r="A38" s="1">
        <v>2</v>
      </c>
      <c r="B38" s="1" t="s">
        <v>35</v>
      </c>
      <c r="C38">
        <v>400</v>
      </c>
      <c r="D38" s="14">
        <v>0.4375</v>
      </c>
      <c r="E38" s="10">
        <f>D38-1/24</f>
        <v>0.3958333333333333</v>
      </c>
      <c r="F38" s="4" t="s">
        <v>31</v>
      </c>
      <c r="G38" s="15" t="s">
        <v>42</v>
      </c>
      <c r="H38" s="6" t="s">
        <v>33</v>
      </c>
      <c r="I38" s="9">
        <f>C38/D38/24</f>
        <v>38.095238095238095</v>
      </c>
      <c r="J38" s="9">
        <f>C38/E38/24</f>
        <v>42.10526315789474</v>
      </c>
      <c r="K38" s="2" t="s">
        <v>16</v>
      </c>
      <c r="L38" s="1" t="s">
        <v>17</v>
      </c>
      <c r="M38" s="2" t="s">
        <v>34</v>
      </c>
      <c r="N38" s="2">
        <v>1</v>
      </c>
      <c r="O38" s="2">
        <f>N38*C38</f>
        <v>400</v>
      </c>
    </row>
    <row r="39" spans="1:15" ht="12.75">
      <c r="A39">
        <v>3</v>
      </c>
      <c r="B39" s="1" t="s">
        <v>37</v>
      </c>
      <c r="C39">
        <v>357</v>
      </c>
      <c r="D39" s="8">
        <v>0.3645833333333333</v>
      </c>
      <c r="E39" s="10">
        <f>D39-1/48</f>
        <v>0.34375</v>
      </c>
      <c r="F39" s="4" t="s">
        <v>31</v>
      </c>
      <c r="G39" s="15" t="s">
        <v>32</v>
      </c>
      <c r="H39" s="6" t="s">
        <v>33</v>
      </c>
      <c r="I39" s="9">
        <f>C39/D39/24</f>
        <v>40.800000000000004</v>
      </c>
      <c r="J39" s="9">
        <f>C39/E39/24</f>
        <v>43.27272727272727</v>
      </c>
      <c r="K39" s="2" t="s">
        <v>20</v>
      </c>
      <c r="L39" s="1" t="s">
        <v>17</v>
      </c>
      <c r="M39" s="2" t="s">
        <v>34</v>
      </c>
      <c r="N39" s="2">
        <v>1</v>
      </c>
      <c r="O39" s="2">
        <f>N39*C39</f>
        <v>357</v>
      </c>
    </row>
    <row r="40" spans="1:15" ht="12.75">
      <c r="A40" s="1">
        <v>4</v>
      </c>
      <c r="B40" s="6" t="s">
        <v>41</v>
      </c>
      <c r="C40">
        <v>357</v>
      </c>
      <c r="D40" s="8">
        <v>0.3645833333333333</v>
      </c>
      <c r="E40" s="10">
        <f>D40-1/48</f>
        <v>0.34375</v>
      </c>
      <c r="F40" s="4" t="s">
        <v>31</v>
      </c>
      <c r="G40" s="15" t="s">
        <v>43</v>
      </c>
      <c r="H40" s="6" t="s">
        <v>33</v>
      </c>
      <c r="I40" s="9">
        <f>C40/D40/24</f>
        <v>40.800000000000004</v>
      </c>
      <c r="J40" s="9">
        <f>C40/E40/24</f>
        <v>43.27272727272727</v>
      </c>
      <c r="K40" s="2" t="s">
        <v>16</v>
      </c>
      <c r="L40" s="1" t="s">
        <v>17</v>
      </c>
      <c r="M40" s="2" t="s">
        <v>34</v>
      </c>
      <c r="N40" s="2">
        <v>1</v>
      </c>
      <c r="O40" s="2">
        <f>N40*C40</f>
        <v>357</v>
      </c>
    </row>
    <row r="41" spans="2:17" ht="12.75">
      <c r="B41"/>
      <c r="C41"/>
      <c r="D41"/>
      <c r="E41"/>
      <c r="F41"/>
      <c r="G41"/>
      <c r="H41"/>
      <c r="I41"/>
      <c r="J41"/>
      <c r="K41"/>
      <c r="L41"/>
      <c r="M41"/>
      <c r="N41"/>
      <c r="O41"/>
      <c r="P41"/>
      <c r="Q41"/>
    </row>
    <row r="42" spans="2:17" ht="12.75">
      <c r="B42"/>
      <c r="C42"/>
      <c r="D42"/>
      <c r="E42"/>
      <c r="F42"/>
      <c r="G42"/>
      <c r="H42"/>
      <c r="I42"/>
      <c r="J42"/>
      <c r="K42"/>
      <c r="L42" s="1" t="s">
        <v>17</v>
      </c>
      <c r="M42" s="2" t="s">
        <v>18</v>
      </c>
      <c r="N42" s="2">
        <f>SUM(N35:N36)</f>
        <v>2</v>
      </c>
      <c r="O42" s="2">
        <f>SUM(O35:O36)</f>
        <v>348.2</v>
      </c>
      <c r="P42" s="13">
        <f>N42/N44</f>
        <v>0.3333333333333333</v>
      </c>
      <c r="Q42" s="13">
        <f>O42/O44</f>
        <v>0.1869831382236065</v>
      </c>
    </row>
    <row r="43" spans="1:256" ht="12.75">
      <c r="A43"/>
      <c r="B43"/>
      <c r="C43"/>
      <c r="D43"/>
      <c r="E43"/>
      <c r="F43"/>
      <c r="G43"/>
      <c r="H43"/>
      <c r="I43"/>
      <c r="J43"/>
      <c r="K43"/>
      <c r="L43" s="1" t="s">
        <v>17</v>
      </c>
      <c r="M43" s="2" t="s">
        <v>34</v>
      </c>
      <c r="N43" s="2">
        <f>SUM(N37:N40)</f>
        <v>4</v>
      </c>
      <c r="O43" s="2">
        <f>SUM(O37:O40)</f>
        <v>1514</v>
      </c>
      <c r="P43" s="13">
        <f>N43/N44</f>
        <v>0.6666666666666666</v>
      </c>
      <c r="Q43" s="13">
        <f>O43/O44</f>
        <v>0.8130168617763935</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75">
      <c r="A44"/>
      <c r="B44"/>
      <c r="C44"/>
      <c r="D44"/>
      <c r="E44"/>
      <c r="F44"/>
      <c r="G44"/>
      <c r="H44"/>
      <c r="I44"/>
      <c r="J44"/>
      <c r="K44"/>
      <c r="L44" s="1" t="s">
        <v>17</v>
      </c>
      <c r="M44" t="s">
        <v>25</v>
      </c>
      <c r="N44" s="2">
        <f>N43+N42</f>
        <v>6</v>
      </c>
      <c r="O44" s="2">
        <f>O43+O42</f>
        <v>1862.2</v>
      </c>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 r="A46" s="3">
        <v>1947</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2.75">
      <c r="A47" s="4" t="s">
        <v>0</v>
      </c>
      <c r="B47" s="4" t="s">
        <v>1</v>
      </c>
      <c r="C47" s="4" t="s">
        <v>2</v>
      </c>
      <c r="D47" s="4" t="s">
        <v>3</v>
      </c>
      <c r="E47" s="5" t="s">
        <v>4</v>
      </c>
      <c r="F47" s="4" t="s">
        <v>5</v>
      </c>
      <c r="G47" s="4" t="s">
        <v>6</v>
      </c>
      <c r="H47" s="4" t="s">
        <v>7</v>
      </c>
      <c r="I47" s="4" t="s">
        <v>8</v>
      </c>
      <c r="J47" s="5" t="s">
        <v>4</v>
      </c>
      <c r="K47" s="4" t="s">
        <v>9</v>
      </c>
      <c r="L47" s="4" t="s">
        <v>10</v>
      </c>
      <c r="M47" s="4" t="s">
        <v>11</v>
      </c>
      <c r="N47" s="4" t="s">
        <v>12</v>
      </c>
      <c r="O47" s="4" t="s">
        <v>13</v>
      </c>
      <c r="P47" s="4" t="s">
        <v>26</v>
      </c>
      <c r="Q47" s="4" t="s">
        <v>27</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15" ht="12.75">
      <c r="A48" s="6">
        <v>1</v>
      </c>
      <c r="B48" s="2" t="s">
        <v>14</v>
      </c>
      <c r="C48" s="7">
        <v>174.1</v>
      </c>
      <c r="D48" s="8"/>
      <c r="E48"/>
      <c r="F48" s="6"/>
      <c r="G48" s="6" t="s">
        <v>15</v>
      </c>
      <c r="H48" s="6"/>
      <c r="I48" s="9"/>
      <c r="J48"/>
      <c r="K48" s="2" t="s">
        <v>16</v>
      </c>
      <c r="L48" s="1" t="s">
        <v>17</v>
      </c>
      <c r="M48" s="2" t="s">
        <v>18</v>
      </c>
      <c r="N48" s="2">
        <v>7</v>
      </c>
      <c r="O48" s="2">
        <f>N48*C48</f>
        <v>1218.7</v>
      </c>
    </row>
    <row r="49" spans="1:15" ht="12.75">
      <c r="A49" s="6">
        <v>2</v>
      </c>
      <c r="B49" s="2" t="s">
        <v>19</v>
      </c>
      <c r="C49" s="7">
        <v>174.1</v>
      </c>
      <c r="D49" s="8"/>
      <c r="E49"/>
      <c r="F49" s="6"/>
      <c r="G49" s="6" t="s">
        <v>15</v>
      </c>
      <c r="H49" s="6"/>
      <c r="I49" s="9"/>
      <c r="J49"/>
      <c r="K49" s="2" t="s">
        <v>20</v>
      </c>
      <c r="L49" s="1" t="s">
        <v>17</v>
      </c>
      <c r="M49" s="2" t="s">
        <v>18</v>
      </c>
      <c r="N49" s="2">
        <v>7</v>
      </c>
      <c r="O49" s="2">
        <f>N49*C49</f>
        <v>1218.7</v>
      </c>
    </row>
    <row r="50" spans="1:15" ht="12.75">
      <c r="A50" s="1">
        <v>1</v>
      </c>
      <c r="B50" s="1" t="s">
        <v>30</v>
      </c>
      <c r="C50">
        <v>400</v>
      </c>
      <c r="D50" s="14">
        <v>0.4479166666666667</v>
      </c>
      <c r="E50" s="10">
        <v>0.375</v>
      </c>
      <c r="F50"/>
      <c r="G50" s="15" t="s">
        <v>32</v>
      </c>
      <c r="H50"/>
      <c r="I50" s="9">
        <f>C50/D50/24</f>
        <v>37.2093023255814</v>
      </c>
      <c r="J50" s="9">
        <f>C50/E50/24</f>
        <v>44.44444444444445</v>
      </c>
      <c r="K50" s="2" t="s">
        <v>20</v>
      </c>
      <c r="L50" s="1" t="s">
        <v>17</v>
      </c>
      <c r="M50" s="2" t="s">
        <v>34</v>
      </c>
      <c r="N50" s="2">
        <v>1</v>
      </c>
      <c r="O50" s="2">
        <f>N50*C50</f>
        <v>400</v>
      </c>
    </row>
    <row r="51" spans="1:15" ht="12.75">
      <c r="A51" s="1">
        <v>1</v>
      </c>
      <c r="B51" t="s">
        <v>24</v>
      </c>
      <c r="C51">
        <v>183</v>
      </c>
      <c r="D51" s="14">
        <v>0.1875</v>
      </c>
      <c r="E51" s="10"/>
      <c r="F51"/>
      <c r="G51" s="15" t="s">
        <v>43</v>
      </c>
      <c r="H51"/>
      <c r="I51" s="9">
        <f>C51/D51/24</f>
        <v>40.666666666666664</v>
      </c>
      <c r="J51" s="9" t="e">
        <f>C51/E51/24</f>
        <v>#DIV/0!</v>
      </c>
      <c r="K51" s="2" t="s">
        <v>20</v>
      </c>
      <c r="L51" s="1" t="s">
        <v>17</v>
      </c>
      <c r="M51" s="2" t="s">
        <v>34</v>
      </c>
      <c r="N51" s="2">
        <v>1</v>
      </c>
      <c r="O51" s="2">
        <f>N51*C51</f>
        <v>183</v>
      </c>
    </row>
    <row r="52" spans="1:15" ht="12.75">
      <c r="A52" s="1">
        <v>2</v>
      </c>
      <c r="B52" s="1" t="s">
        <v>35</v>
      </c>
      <c r="C52">
        <v>400</v>
      </c>
      <c r="D52" s="14">
        <v>0.4375</v>
      </c>
      <c r="E52" s="10">
        <v>0.375</v>
      </c>
      <c r="F52"/>
      <c r="G52" s="15" t="s">
        <v>47</v>
      </c>
      <c r="H52"/>
      <c r="I52" s="9">
        <f>C52/D52/24</f>
        <v>38.095238095238095</v>
      </c>
      <c r="J52" s="9">
        <f>C52/E52/24</f>
        <v>44.44444444444445</v>
      </c>
      <c r="K52" s="2" t="s">
        <v>16</v>
      </c>
      <c r="L52" s="1" t="s">
        <v>17</v>
      </c>
      <c r="M52" s="2" t="s">
        <v>34</v>
      </c>
      <c r="N52" s="2">
        <v>1</v>
      </c>
      <c r="O52" s="2">
        <f>N52*C52</f>
        <v>400</v>
      </c>
    </row>
    <row r="53" spans="1:256" ht="12.75">
      <c r="A53" s="1">
        <v>2</v>
      </c>
      <c r="B53" t="s">
        <v>21</v>
      </c>
      <c r="C53">
        <v>183</v>
      </c>
      <c r="D53" s="14">
        <v>0.1875</v>
      </c>
      <c r="E53" s="10"/>
      <c r="F53"/>
      <c r="G53" t="s">
        <v>36</v>
      </c>
      <c r="H53"/>
      <c r="I53" s="9">
        <f>C53/D53/24</f>
        <v>40.666666666666664</v>
      </c>
      <c r="J53" s="9" t="e">
        <f>C53/E53/24</f>
        <v>#DIV/0!</v>
      </c>
      <c r="K53" s="2" t="s">
        <v>16</v>
      </c>
      <c r="L53" s="1" t="s">
        <v>17</v>
      </c>
      <c r="M53" s="2" t="s">
        <v>34</v>
      </c>
      <c r="N53">
        <v>1</v>
      </c>
      <c r="O53" s="2">
        <f>N53*C53</f>
        <v>183</v>
      </c>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15" ht="12.75">
      <c r="A54">
        <v>3</v>
      </c>
      <c r="B54" s="1" t="s">
        <v>37</v>
      </c>
      <c r="C54">
        <v>357</v>
      </c>
      <c r="D54" s="8">
        <v>0.3715277777777778</v>
      </c>
      <c r="E54" s="10">
        <v>0.34375</v>
      </c>
      <c r="F54"/>
      <c r="G54" s="15" t="s">
        <v>40</v>
      </c>
      <c r="H54"/>
      <c r="I54" s="9">
        <f>C54/D54/24</f>
        <v>40.03738317757009</v>
      </c>
      <c r="J54" s="9">
        <f>C54/E54/24</f>
        <v>43.27272727272727</v>
      </c>
      <c r="K54" s="2" t="s">
        <v>20</v>
      </c>
      <c r="L54" s="1" t="s">
        <v>17</v>
      </c>
      <c r="M54" s="2" t="s">
        <v>34</v>
      </c>
      <c r="N54" s="2">
        <v>1</v>
      </c>
      <c r="O54" s="2">
        <f>N54*C54</f>
        <v>357</v>
      </c>
    </row>
    <row r="55" spans="1:15" ht="12.75">
      <c r="A55" s="1">
        <v>4</v>
      </c>
      <c r="B55" s="6" t="s">
        <v>41</v>
      </c>
      <c r="C55">
        <v>357</v>
      </c>
      <c r="D55" s="8">
        <v>0.3680555555555556</v>
      </c>
      <c r="E55" s="10">
        <v>0.3506944444444444</v>
      </c>
      <c r="F55"/>
      <c r="G55" s="15" t="s">
        <v>39</v>
      </c>
      <c r="H55"/>
      <c r="I55" s="9">
        <f>C55/D55/24</f>
        <v>40.41509433962264</v>
      </c>
      <c r="J55" s="9">
        <f>C55/E55/24</f>
        <v>42.41584158415842</v>
      </c>
      <c r="K55" s="2" t="s">
        <v>16</v>
      </c>
      <c r="L55" s="1" t="s">
        <v>17</v>
      </c>
      <c r="M55" s="2" t="s">
        <v>34</v>
      </c>
      <c r="N55" s="2">
        <v>1</v>
      </c>
      <c r="O55" s="2">
        <f>N55*C55</f>
        <v>357</v>
      </c>
    </row>
    <row r="56" spans="2:17" ht="12.75">
      <c r="B56"/>
      <c r="C56"/>
      <c r="D56"/>
      <c r="E56"/>
      <c r="F56"/>
      <c r="G56"/>
      <c r="H56"/>
      <c r="I56"/>
      <c r="J56"/>
      <c r="K56"/>
      <c r="L56"/>
      <c r="M56"/>
      <c r="N56"/>
      <c r="O56"/>
      <c r="P56"/>
      <c r="Q56"/>
    </row>
    <row r="57" spans="2:17" ht="12.75">
      <c r="B57"/>
      <c r="C57"/>
      <c r="D57"/>
      <c r="E57"/>
      <c r="F57"/>
      <c r="G57"/>
      <c r="H57"/>
      <c r="I57"/>
      <c r="J57"/>
      <c r="K57"/>
      <c r="L57" s="1" t="s">
        <v>17</v>
      </c>
      <c r="M57" s="2" t="s">
        <v>18</v>
      </c>
      <c r="N57" s="2">
        <f>SUM(N48:N49)</f>
        <v>14</v>
      </c>
      <c r="O57" s="2">
        <f>SUM(O48:O49)</f>
        <v>2437.4</v>
      </c>
      <c r="P57" s="13">
        <f>N57/N59</f>
        <v>0.7</v>
      </c>
      <c r="Q57" s="13">
        <f>O57/O59</f>
        <v>0.5645527400750452</v>
      </c>
    </row>
    <row r="58" spans="1:256" ht="12.75">
      <c r="A58"/>
      <c r="B58"/>
      <c r="C58"/>
      <c r="D58"/>
      <c r="E58"/>
      <c r="F58"/>
      <c r="G58"/>
      <c r="H58"/>
      <c r="I58"/>
      <c r="J58"/>
      <c r="K58"/>
      <c r="L58" s="1" t="s">
        <v>17</v>
      </c>
      <c r="M58" s="2" t="s">
        <v>34</v>
      </c>
      <c r="N58" s="2">
        <f>SUM(N50:N55)</f>
        <v>6</v>
      </c>
      <c r="O58" s="2">
        <f>SUM(O50:O55)</f>
        <v>1880</v>
      </c>
      <c r="P58" s="13">
        <f>N58/N59</f>
        <v>0.3</v>
      </c>
      <c r="Q58" s="13">
        <f>O58/O59</f>
        <v>0.43544725992495487</v>
      </c>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2.75">
      <c r="A59"/>
      <c r="B59"/>
      <c r="C59"/>
      <c r="D59"/>
      <c r="E59"/>
      <c r="F59"/>
      <c r="G59"/>
      <c r="H59"/>
      <c r="I59"/>
      <c r="J59"/>
      <c r="K59"/>
      <c r="L59" s="1" t="s">
        <v>17</v>
      </c>
      <c r="M59" t="s">
        <v>25</v>
      </c>
      <c r="N59" s="2">
        <f>N58+N57</f>
        <v>20</v>
      </c>
      <c r="O59" s="2">
        <f>O58+O57</f>
        <v>4317.4</v>
      </c>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2.75">
      <c r="A61" s="3">
        <v>1952</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2.75">
      <c r="A62" s="4" t="s">
        <v>0</v>
      </c>
      <c r="B62" s="4" t="s">
        <v>1</v>
      </c>
      <c r="C62" s="4" t="s">
        <v>2</v>
      </c>
      <c r="D62" s="4" t="s">
        <v>3</v>
      </c>
      <c r="E62" s="5" t="s">
        <v>4</v>
      </c>
      <c r="F62" s="4" t="s">
        <v>5</v>
      </c>
      <c r="G62" s="4" t="s">
        <v>6</v>
      </c>
      <c r="H62" s="4" t="s">
        <v>7</v>
      </c>
      <c r="I62" s="4" t="s">
        <v>8</v>
      </c>
      <c r="J62" s="5" t="s">
        <v>4</v>
      </c>
      <c r="K62" s="4" t="s">
        <v>9</v>
      </c>
      <c r="L62" s="4" t="s">
        <v>10</v>
      </c>
      <c r="M62" s="4" t="s">
        <v>11</v>
      </c>
      <c r="N62" s="4" t="s">
        <v>12</v>
      </c>
      <c r="O62" s="4" t="s">
        <v>13</v>
      </c>
      <c r="P62" s="4" t="s">
        <v>26</v>
      </c>
      <c r="Q62" s="4" t="s">
        <v>27</v>
      </c>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17" ht="12.75">
      <c r="A63">
        <v>1</v>
      </c>
      <c r="B63" t="s">
        <v>14</v>
      </c>
      <c r="C63" s="7">
        <v>174.1</v>
      </c>
      <c r="D63" s="8">
        <v>0.2569444444444444</v>
      </c>
      <c r="E63" s="10">
        <f>D63-1/24*43/60</f>
        <v>0.2270833333333333</v>
      </c>
      <c r="F63"/>
      <c r="G63" t="s">
        <v>49</v>
      </c>
      <c r="H63" t="s">
        <v>50</v>
      </c>
      <c r="I63" s="9">
        <f>C63/D63/24</f>
        <v>28.232432432432432</v>
      </c>
      <c r="J63" s="9">
        <f>C63/E63/24</f>
        <v>31.944954128440372</v>
      </c>
      <c r="K63" t="s">
        <v>16</v>
      </c>
      <c r="L63" t="s">
        <v>29</v>
      </c>
      <c r="M63" t="s">
        <v>18</v>
      </c>
      <c r="N63">
        <v>4</v>
      </c>
      <c r="O63" s="17">
        <f>N63*C63</f>
        <v>696.4</v>
      </c>
      <c r="P63"/>
      <c r="Q63"/>
    </row>
    <row r="64" spans="1:17" ht="12.75">
      <c r="A64">
        <v>2</v>
      </c>
      <c r="B64" t="s">
        <v>19</v>
      </c>
      <c r="C64" s="7">
        <v>174.1</v>
      </c>
      <c r="D64" s="8">
        <v>0.2777777777777778</v>
      </c>
      <c r="E64" s="10">
        <f>D64-1/24*65/60</f>
        <v>0.2326388888888889</v>
      </c>
      <c r="F64"/>
      <c r="G64" t="s">
        <v>49</v>
      </c>
      <c r="H64" t="s">
        <v>50</v>
      </c>
      <c r="I64" s="9">
        <f>C64/D64/24</f>
        <v>26.115</v>
      </c>
      <c r="J64" s="9">
        <f>C64/E64/24</f>
        <v>31.182089552238804</v>
      </c>
      <c r="K64" t="s">
        <v>20</v>
      </c>
      <c r="L64" t="s">
        <v>29</v>
      </c>
      <c r="M64" t="s">
        <v>18</v>
      </c>
      <c r="N64">
        <v>4</v>
      </c>
      <c r="O64" s="17">
        <f>N64*C64</f>
        <v>696.4</v>
      </c>
      <c r="P64"/>
      <c r="Q64"/>
    </row>
    <row r="65" spans="1:17" ht="12.75">
      <c r="A65">
        <v>5</v>
      </c>
      <c r="B65" t="s">
        <v>14</v>
      </c>
      <c r="C65" s="7">
        <v>174.1</v>
      </c>
      <c r="D65" s="8">
        <v>0.2743055555555556</v>
      </c>
      <c r="E65" s="10">
        <f>D65-1/24*43/60</f>
        <v>0.24444444444444446</v>
      </c>
      <c r="F65"/>
      <c r="G65" t="s">
        <v>51</v>
      </c>
      <c r="H65" t="s">
        <v>50</v>
      </c>
      <c r="I65" s="9">
        <f>C65/D65/24</f>
        <v>26.445569620253163</v>
      </c>
      <c r="J65" s="9">
        <f>C65/E65/24</f>
        <v>29.67613636363636</v>
      </c>
      <c r="K65" t="s">
        <v>16</v>
      </c>
      <c r="L65" t="s">
        <v>29</v>
      </c>
      <c r="M65" t="s">
        <v>18</v>
      </c>
      <c r="N65">
        <v>3</v>
      </c>
      <c r="O65" s="17">
        <f>N65*C65</f>
        <v>522.3</v>
      </c>
      <c r="P65"/>
      <c r="Q65"/>
    </row>
    <row r="66" spans="1:17" ht="12.75">
      <c r="A66">
        <v>6</v>
      </c>
      <c r="B66" t="s">
        <v>19</v>
      </c>
      <c r="C66" s="7">
        <v>174.1</v>
      </c>
      <c r="D66" s="8">
        <v>0.2534722222222222</v>
      </c>
      <c r="E66" s="10">
        <f>D66-1/24*40/60</f>
        <v>0.22569444444444442</v>
      </c>
      <c r="F66"/>
      <c r="G66" t="s">
        <v>51</v>
      </c>
      <c r="H66" t="s">
        <v>50</v>
      </c>
      <c r="I66" s="9">
        <f>C66/D66/24</f>
        <v>28.61917808219178</v>
      </c>
      <c r="J66" s="9">
        <f>C66/E66/24</f>
        <v>32.14153846153847</v>
      </c>
      <c r="K66" t="s">
        <v>20</v>
      </c>
      <c r="L66" t="s">
        <v>29</v>
      </c>
      <c r="M66" t="s">
        <v>18</v>
      </c>
      <c r="N66">
        <v>3</v>
      </c>
      <c r="O66" s="17">
        <f>N66*C66</f>
        <v>522.3</v>
      </c>
      <c r="P66"/>
      <c r="Q66"/>
    </row>
    <row r="67" spans="1:17" ht="12.75">
      <c r="A67">
        <v>3</v>
      </c>
      <c r="B67" t="s">
        <v>52</v>
      </c>
      <c r="C67" s="18">
        <v>107.63</v>
      </c>
      <c r="D67" s="8">
        <v>0.125</v>
      </c>
      <c r="E67"/>
      <c r="F67" t="s">
        <v>53</v>
      </c>
      <c r="G67" t="s">
        <v>49</v>
      </c>
      <c r="H67" t="s">
        <v>50</v>
      </c>
      <c r="I67" s="9">
        <f>C67/D67/24</f>
        <v>35.876666666666665</v>
      </c>
      <c r="J67"/>
      <c r="K67" t="s">
        <v>16</v>
      </c>
      <c r="L67" t="s">
        <v>29</v>
      </c>
      <c r="M67" t="s">
        <v>18</v>
      </c>
      <c r="N67">
        <v>4</v>
      </c>
      <c r="O67" s="17">
        <f>N67*C67</f>
        <v>430.52</v>
      </c>
      <c r="P67"/>
      <c r="Q67"/>
    </row>
    <row r="68" spans="1:17" ht="12.75">
      <c r="A68"/>
      <c r="B68" t="s">
        <v>14</v>
      </c>
      <c r="C68" s="7">
        <v>174.1</v>
      </c>
      <c r="D68" s="8"/>
      <c r="E68"/>
      <c r="F68"/>
      <c r="G68" t="s">
        <v>54</v>
      </c>
      <c r="H68"/>
      <c r="I68" s="9"/>
      <c r="J68"/>
      <c r="K68" t="s">
        <v>16</v>
      </c>
      <c r="L68" t="s">
        <v>17</v>
      </c>
      <c r="M68" t="s">
        <v>18</v>
      </c>
      <c r="N68">
        <v>2</v>
      </c>
      <c r="O68" s="17">
        <f>N68*C68</f>
        <v>348.2</v>
      </c>
      <c r="P68"/>
      <c r="Q68"/>
    </row>
    <row r="69" spans="1:256" ht="12.75">
      <c r="A69"/>
      <c r="B69" t="s">
        <v>19</v>
      </c>
      <c r="C69" s="7">
        <v>174.1</v>
      </c>
      <c r="D69"/>
      <c r="E69"/>
      <c r="F69"/>
      <c r="G69" t="s">
        <v>54</v>
      </c>
      <c r="H69"/>
      <c r="I69"/>
      <c r="J69"/>
      <c r="K69" t="s">
        <v>20</v>
      </c>
      <c r="L69" t="s">
        <v>17</v>
      </c>
      <c r="M69" t="s">
        <v>18</v>
      </c>
      <c r="N69">
        <v>2</v>
      </c>
      <c r="O69" s="17">
        <f>N69*C69</f>
        <v>348.2</v>
      </c>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17" ht="12.75">
      <c r="A70"/>
      <c r="B70" t="s">
        <v>24</v>
      </c>
      <c r="C70">
        <v>183</v>
      </c>
      <c r="D70" s="8">
        <v>0.1875</v>
      </c>
      <c r="E70"/>
      <c r="F70"/>
      <c r="G70" t="s">
        <v>55</v>
      </c>
      <c r="H70"/>
      <c r="I70" s="9">
        <f>C70/D70/24</f>
        <v>40.666666666666664</v>
      </c>
      <c r="J70"/>
      <c r="K70" t="s">
        <v>20</v>
      </c>
      <c r="L70" t="s">
        <v>29</v>
      </c>
      <c r="M70" t="s">
        <v>34</v>
      </c>
      <c r="N70">
        <v>3</v>
      </c>
      <c r="O70" s="17">
        <f>N70*C70</f>
        <v>549</v>
      </c>
      <c r="P70"/>
      <c r="Q70"/>
    </row>
    <row r="71" spans="1:17" ht="12.75">
      <c r="A71"/>
      <c r="B71" t="s">
        <v>21</v>
      </c>
      <c r="C71">
        <v>183</v>
      </c>
      <c r="D71" s="8">
        <v>0.1875</v>
      </c>
      <c r="E71"/>
      <c r="F71"/>
      <c r="G71" t="s">
        <v>55</v>
      </c>
      <c r="H71"/>
      <c r="I71" s="9">
        <f>C71/D71/24</f>
        <v>40.666666666666664</v>
      </c>
      <c r="J71"/>
      <c r="K71" t="s">
        <v>16</v>
      </c>
      <c r="L71" t="s">
        <v>29</v>
      </c>
      <c r="M71" t="s">
        <v>34</v>
      </c>
      <c r="N71">
        <v>3</v>
      </c>
      <c r="O71" s="17">
        <f>N71*C71</f>
        <v>549</v>
      </c>
      <c r="P71"/>
      <c r="Q71"/>
    </row>
    <row r="72" spans="1:17" ht="12.75">
      <c r="A72"/>
      <c r="B72" t="s">
        <v>56</v>
      </c>
      <c r="C72" s="6">
        <v>573</v>
      </c>
      <c r="D72" s="8">
        <v>0.5</v>
      </c>
      <c r="E72"/>
      <c r="F72" t="s">
        <v>57</v>
      </c>
      <c r="G72" t="s">
        <v>58</v>
      </c>
      <c r="H72"/>
      <c r="I72" s="9">
        <f>C72/D72/24</f>
        <v>47.75</v>
      </c>
      <c r="J72"/>
      <c r="K72" t="s">
        <v>16</v>
      </c>
      <c r="L72" t="s">
        <v>29</v>
      </c>
      <c r="M72" t="s">
        <v>34</v>
      </c>
      <c r="N72">
        <v>6</v>
      </c>
      <c r="O72" s="17">
        <f>N72*C72</f>
        <v>3438</v>
      </c>
      <c r="P72"/>
      <c r="Q72"/>
    </row>
    <row r="73" spans="1:17" ht="12.75">
      <c r="A73"/>
      <c r="B73" t="s">
        <v>59</v>
      </c>
      <c r="C73" s="6">
        <v>573</v>
      </c>
      <c r="D73" s="8">
        <v>0.4895833333333333</v>
      </c>
      <c r="E73"/>
      <c r="F73" t="s">
        <v>57</v>
      </c>
      <c r="G73" t="s">
        <v>58</v>
      </c>
      <c r="H73"/>
      <c r="I73" s="9">
        <f>C73/D73/24</f>
        <v>48.76595744680851</v>
      </c>
      <c r="J73"/>
      <c r="K73" t="s">
        <v>20</v>
      </c>
      <c r="L73" t="s">
        <v>29</v>
      </c>
      <c r="M73" t="s">
        <v>34</v>
      </c>
      <c r="N73">
        <v>6</v>
      </c>
      <c r="O73" s="17">
        <f>N73*C73</f>
        <v>3438</v>
      </c>
      <c r="P73"/>
      <c r="Q73"/>
    </row>
    <row r="74" spans="1:17" ht="12.75">
      <c r="A74"/>
      <c r="B74" t="s">
        <v>60</v>
      </c>
      <c r="C74">
        <v>100</v>
      </c>
      <c r="D74" s="8">
        <v>0.09375</v>
      </c>
      <c r="E74"/>
      <c r="F74"/>
      <c r="G74" t="s">
        <v>22</v>
      </c>
      <c r="H74"/>
      <c r="I74" s="9">
        <f>C74/D74/24</f>
        <v>44.44444444444445</v>
      </c>
      <c r="J74"/>
      <c r="K74" t="s">
        <v>20</v>
      </c>
      <c r="L74" t="s">
        <v>29</v>
      </c>
      <c r="M74" t="s">
        <v>34</v>
      </c>
      <c r="N74">
        <v>6</v>
      </c>
      <c r="O74" s="17">
        <f>N74*C74</f>
        <v>600</v>
      </c>
      <c r="P74"/>
      <c r="Q74"/>
    </row>
    <row r="75" spans="1:17" ht="12.75">
      <c r="A75"/>
      <c r="B75" t="s">
        <v>61</v>
      </c>
      <c r="C75">
        <v>100</v>
      </c>
      <c r="D75" s="8">
        <v>0.08680555555555555</v>
      </c>
      <c r="E75"/>
      <c r="F75"/>
      <c r="G75" t="s">
        <v>22</v>
      </c>
      <c r="H75"/>
      <c r="I75" s="9">
        <f>C75/D75/24</f>
        <v>48</v>
      </c>
      <c r="J75"/>
      <c r="K75" t="s">
        <v>16</v>
      </c>
      <c r="L75" t="s">
        <v>29</v>
      </c>
      <c r="M75" t="s">
        <v>34</v>
      </c>
      <c r="N75">
        <v>6</v>
      </c>
      <c r="O75" s="17">
        <f>N75*C75</f>
        <v>600</v>
      </c>
      <c r="P75"/>
      <c r="Q75"/>
    </row>
    <row r="76" spans="1:17" ht="12.75">
      <c r="A76"/>
      <c r="B76" t="s">
        <v>62</v>
      </c>
      <c r="C76">
        <v>89</v>
      </c>
      <c r="D76" s="8">
        <v>0.16319444444444445</v>
      </c>
      <c r="E76"/>
      <c r="F76"/>
      <c r="G76" t="s">
        <v>22</v>
      </c>
      <c r="H76"/>
      <c r="I76" s="9">
        <f>C76/D76/24</f>
        <v>22.72340425531915</v>
      </c>
      <c r="J76"/>
      <c r="K76" t="s">
        <v>16</v>
      </c>
      <c r="L76" t="s">
        <v>29</v>
      </c>
      <c r="M76" t="s">
        <v>34</v>
      </c>
      <c r="N76">
        <v>6</v>
      </c>
      <c r="O76" s="17">
        <f>N76*C76</f>
        <v>534</v>
      </c>
      <c r="P76"/>
      <c r="Q76"/>
    </row>
    <row r="77" spans="1:17" ht="12.75">
      <c r="A77"/>
      <c r="B77" t="s">
        <v>63</v>
      </c>
      <c r="C77">
        <v>89</v>
      </c>
      <c r="D77" s="8">
        <v>0.125</v>
      </c>
      <c r="E77"/>
      <c r="F77"/>
      <c r="G77" t="s">
        <v>22</v>
      </c>
      <c r="H77"/>
      <c r="I77" s="9">
        <f>C77/D77/24</f>
        <v>29.666666666666668</v>
      </c>
      <c r="J77"/>
      <c r="K77" t="s">
        <v>20</v>
      </c>
      <c r="L77" t="s">
        <v>29</v>
      </c>
      <c r="M77" t="s">
        <v>34</v>
      </c>
      <c r="N77">
        <v>6</v>
      </c>
      <c r="O77" s="17">
        <f>N77*C77</f>
        <v>534</v>
      </c>
      <c r="P77"/>
      <c r="Q77"/>
    </row>
    <row r="78" spans="2:12" ht="12.75">
      <c r="B78"/>
      <c r="C78" s="6"/>
      <c r="D78" s="6"/>
      <c r="E78"/>
      <c r="F78" s="6"/>
      <c r="G78" s="6"/>
      <c r="H78" s="6"/>
      <c r="J78"/>
      <c r="L78" s="1"/>
    </row>
    <row r="79" spans="2:17" ht="12.75">
      <c r="B79"/>
      <c r="C79"/>
      <c r="D79"/>
      <c r="E79"/>
      <c r="F79"/>
      <c r="G79"/>
      <c r="H79"/>
      <c r="I79"/>
      <c r="J79"/>
      <c r="K79"/>
      <c r="L79" s="1" t="s">
        <v>29</v>
      </c>
      <c r="M79" s="2" t="s">
        <v>18</v>
      </c>
      <c r="N79" s="2">
        <f>SUM(N63:N67)</f>
        <v>18</v>
      </c>
      <c r="O79" s="2">
        <f>SUM(O63:O67)</f>
        <v>2867.9199999999996</v>
      </c>
      <c r="P79" s="13">
        <f>N79/N81</f>
        <v>0.3</v>
      </c>
      <c r="Q79" s="13">
        <f>O79/O81</f>
        <v>0.21875953476451418</v>
      </c>
    </row>
    <row r="80" spans="2:17" ht="12.75">
      <c r="B80"/>
      <c r="C80"/>
      <c r="D80" s="19"/>
      <c r="E80"/>
      <c r="F80"/>
      <c r="G80"/>
      <c r="H80"/>
      <c r="I80"/>
      <c r="J80"/>
      <c r="K80"/>
      <c r="L80" t="s">
        <v>29</v>
      </c>
      <c r="M80" s="2" t="s">
        <v>34</v>
      </c>
      <c r="N80" s="2">
        <f>SUM(N70:N77)</f>
        <v>42</v>
      </c>
      <c r="O80" s="2">
        <f>SUM(O70:O77)</f>
        <v>10242</v>
      </c>
      <c r="P80" s="13">
        <f>N80/N81</f>
        <v>0.7</v>
      </c>
      <c r="Q80" s="13">
        <f>O80/O81</f>
        <v>0.7812404652354858</v>
      </c>
    </row>
    <row r="81" spans="2:15" ht="12.75">
      <c r="B81"/>
      <c r="E81"/>
      <c r="J81"/>
      <c r="L81" t="s">
        <v>29</v>
      </c>
      <c r="M81" t="s">
        <v>25</v>
      </c>
      <c r="N81" s="2">
        <f>N80+N79</f>
        <v>60</v>
      </c>
      <c r="O81" s="2">
        <f>O80+O79</f>
        <v>13109.92</v>
      </c>
    </row>
    <row r="82" spans="2:13" ht="12.75">
      <c r="B82"/>
      <c r="C82"/>
      <c r="D82"/>
      <c r="E82"/>
      <c r="F82"/>
      <c r="G82"/>
      <c r="H82"/>
      <c r="I82"/>
      <c r="J82"/>
      <c r="K82"/>
      <c r="L82"/>
      <c r="M82"/>
    </row>
    <row r="83" spans="2:17" ht="12.75">
      <c r="B83"/>
      <c r="C83"/>
      <c r="D83"/>
      <c r="E83"/>
      <c r="F83"/>
      <c r="G83"/>
      <c r="H83"/>
      <c r="I83"/>
      <c r="J83"/>
      <c r="K83"/>
      <c r="L83" s="1" t="s">
        <v>17</v>
      </c>
      <c r="M83" s="2" t="s">
        <v>18</v>
      </c>
      <c r="N83" s="2">
        <f>N68+N69</f>
        <v>4</v>
      </c>
      <c r="O83" s="2">
        <f>O68+O69</f>
        <v>696.4</v>
      </c>
      <c r="P83" s="13">
        <f>N83/N79</f>
        <v>0.2222222222222222</v>
      </c>
      <c r="Q83" s="13">
        <f>O83/O79</f>
        <v>0.24282406761694889</v>
      </c>
    </row>
    <row r="84" spans="1:2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2.75">
      <c r="A85" s="3">
        <v>1953</v>
      </c>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 r="A86" s="4" t="s">
        <v>0</v>
      </c>
      <c r="B86" s="4" t="s">
        <v>1</v>
      </c>
      <c r="C86" s="4" t="s">
        <v>2</v>
      </c>
      <c r="D86" s="4" t="s">
        <v>3</v>
      </c>
      <c r="E86" s="5" t="s">
        <v>4</v>
      </c>
      <c r="F86" s="4" t="s">
        <v>5</v>
      </c>
      <c r="G86" s="4" t="s">
        <v>6</v>
      </c>
      <c r="H86" s="4" t="s">
        <v>7</v>
      </c>
      <c r="I86" s="4" t="s">
        <v>8</v>
      </c>
      <c r="J86" s="5" t="s">
        <v>4</v>
      </c>
      <c r="K86" s="4" t="s">
        <v>9</v>
      </c>
      <c r="L86" s="4" t="s">
        <v>10</v>
      </c>
      <c r="M86" s="4" t="s">
        <v>11</v>
      </c>
      <c r="N86" s="4" t="s">
        <v>12</v>
      </c>
      <c r="O86" s="4" t="s">
        <v>13</v>
      </c>
      <c r="P86" s="4" t="s">
        <v>26</v>
      </c>
      <c r="Q86" s="4" t="s">
        <v>27</v>
      </c>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15" ht="12.75">
      <c r="A87" s="6">
        <v>1</v>
      </c>
      <c r="B87" s="2" t="s">
        <v>14</v>
      </c>
      <c r="C87" s="7">
        <v>174.1</v>
      </c>
      <c r="D87" s="8">
        <v>0.2569444444444444</v>
      </c>
      <c r="E87" s="10">
        <f>D87-1/24*25/60</f>
        <v>0.23958333333333331</v>
      </c>
      <c r="F87" s="6"/>
      <c r="G87" s="6" t="s">
        <v>54</v>
      </c>
      <c r="H87" s="6" t="s">
        <v>50</v>
      </c>
      <c r="I87" s="9">
        <f>C87/D87/24</f>
        <v>28.232432432432432</v>
      </c>
      <c r="J87" s="9">
        <f>C87/E87/24</f>
        <v>30.27826086956522</v>
      </c>
      <c r="K87" s="2" t="s">
        <v>16</v>
      </c>
      <c r="L87" s="1" t="s">
        <v>17</v>
      </c>
      <c r="M87" s="2" t="s">
        <v>18</v>
      </c>
      <c r="N87" s="2">
        <v>2</v>
      </c>
      <c r="O87" s="2">
        <f>N87*C87</f>
        <v>348.2</v>
      </c>
    </row>
    <row r="88" spans="1:15" ht="12.75">
      <c r="A88" s="6">
        <v>2</v>
      </c>
      <c r="B88" s="2" t="s">
        <v>19</v>
      </c>
      <c r="C88" s="7">
        <v>174.1</v>
      </c>
      <c r="D88" s="8">
        <v>0.2777777777777778</v>
      </c>
      <c r="E88" s="10">
        <f>D88-1/48</f>
        <v>0.2569444444444445</v>
      </c>
      <c r="F88" s="6"/>
      <c r="G88" s="6" t="s">
        <v>54</v>
      </c>
      <c r="H88" s="6" t="s">
        <v>50</v>
      </c>
      <c r="I88" s="9">
        <f>C88/D88/24</f>
        <v>26.115</v>
      </c>
      <c r="J88" s="9">
        <f>C88/E88/24</f>
        <v>28.23243243243243</v>
      </c>
      <c r="K88" s="2" t="s">
        <v>20</v>
      </c>
      <c r="L88" s="1" t="s">
        <v>17</v>
      </c>
      <c r="M88" s="2" t="s">
        <v>18</v>
      </c>
      <c r="N88" s="2">
        <v>2</v>
      </c>
      <c r="O88" s="2">
        <f>N88*C88</f>
        <v>348.2</v>
      </c>
    </row>
    <row r="89" spans="2:15" ht="12.75">
      <c r="B89" s="6" t="s">
        <v>56</v>
      </c>
      <c r="C89" s="6">
        <v>573</v>
      </c>
      <c r="D89" s="8">
        <v>0.5</v>
      </c>
      <c r="E89"/>
      <c r="F89" s="3" t="s">
        <v>57</v>
      </c>
      <c r="G89" s="15" t="s">
        <v>58</v>
      </c>
      <c r="H89" s="6"/>
      <c r="I89" s="9">
        <f>C89/D89/24</f>
        <v>47.75</v>
      </c>
      <c r="J89"/>
      <c r="K89" s="2" t="s">
        <v>16</v>
      </c>
      <c r="L89" s="1" t="s">
        <v>17</v>
      </c>
      <c r="M89" s="2" t="s">
        <v>34</v>
      </c>
      <c r="N89" s="2">
        <v>6</v>
      </c>
      <c r="O89" s="2">
        <f>N89*C89</f>
        <v>3438</v>
      </c>
    </row>
    <row r="90" spans="2:15" ht="12.75">
      <c r="B90" s="1" t="s">
        <v>59</v>
      </c>
      <c r="C90" s="6">
        <v>573</v>
      </c>
      <c r="D90" s="8">
        <v>0.4895833333333333</v>
      </c>
      <c r="E90"/>
      <c r="F90" s="3" t="s">
        <v>57</v>
      </c>
      <c r="G90" s="15" t="s">
        <v>58</v>
      </c>
      <c r="H90" s="6"/>
      <c r="I90" s="9">
        <f>C90/D90/24</f>
        <v>48.76595744680851</v>
      </c>
      <c r="J90"/>
      <c r="K90" s="2" t="s">
        <v>20</v>
      </c>
      <c r="L90" s="1" t="s">
        <v>17</v>
      </c>
      <c r="M90" s="2" t="s">
        <v>34</v>
      </c>
      <c r="N90" s="2">
        <v>6</v>
      </c>
      <c r="O90" s="2">
        <f>N90*C90</f>
        <v>3438</v>
      </c>
    </row>
    <row r="91" spans="2:15" ht="12.75">
      <c r="B91" s="1" t="s">
        <v>60</v>
      </c>
      <c r="C91">
        <v>100</v>
      </c>
      <c r="D91" s="8">
        <v>0.09375</v>
      </c>
      <c r="E91"/>
      <c r="F91" s="6"/>
      <c r="G91" s="11" t="s">
        <v>22</v>
      </c>
      <c r="H91" s="6"/>
      <c r="I91" s="9">
        <f>C91/D91/24</f>
        <v>44.44444444444445</v>
      </c>
      <c r="J91"/>
      <c r="K91" s="2" t="s">
        <v>20</v>
      </c>
      <c r="L91" s="1" t="s">
        <v>17</v>
      </c>
      <c r="M91" s="2" t="s">
        <v>34</v>
      </c>
      <c r="N91" s="2">
        <v>6</v>
      </c>
      <c r="O91" s="2">
        <f>N91*C91</f>
        <v>600</v>
      </c>
    </row>
    <row r="92" spans="2:15" ht="12.75">
      <c r="B92" s="1" t="s">
        <v>61</v>
      </c>
      <c r="C92">
        <v>100</v>
      </c>
      <c r="D92" s="8">
        <v>0.08680555555555555</v>
      </c>
      <c r="E92"/>
      <c r="F92" s="6"/>
      <c r="G92" s="11" t="s">
        <v>22</v>
      </c>
      <c r="H92" s="6"/>
      <c r="I92" s="9">
        <f>C92/D92/24</f>
        <v>48</v>
      </c>
      <c r="J92"/>
      <c r="K92" s="2" t="s">
        <v>16</v>
      </c>
      <c r="L92" s="1" t="s">
        <v>17</v>
      </c>
      <c r="M92" s="2" t="s">
        <v>34</v>
      </c>
      <c r="N92" s="2">
        <v>6</v>
      </c>
      <c r="O92" s="2">
        <f>N92*C92</f>
        <v>600</v>
      </c>
    </row>
    <row r="93" spans="2:15" ht="12.75">
      <c r="B93" s="1" t="s">
        <v>62</v>
      </c>
      <c r="C93">
        <v>89</v>
      </c>
      <c r="D93" s="8">
        <v>0.16319444444444445</v>
      </c>
      <c r="E93"/>
      <c r="F93" s="6"/>
      <c r="G93" s="11" t="s">
        <v>22</v>
      </c>
      <c r="H93" s="6"/>
      <c r="I93" s="9">
        <f>C93/D93/24</f>
        <v>22.72340425531915</v>
      </c>
      <c r="J93"/>
      <c r="K93" s="2" t="s">
        <v>16</v>
      </c>
      <c r="L93" s="1" t="s">
        <v>17</v>
      </c>
      <c r="M93" s="2" t="s">
        <v>34</v>
      </c>
      <c r="N93" s="2">
        <v>6</v>
      </c>
      <c r="O93" s="2">
        <f>N93*C93</f>
        <v>534</v>
      </c>
    </row>
    <row r="94" spans="2:15" ht="12.75">
      <c r="B94" s="1" t="s">
        <v>63</v>
      </c>
      <c r="C94">
        <v>89</v>
      </c>
      <c r="D94" s="8">
        <v>0.125</v>
      </c>
      <c r="E94"/>
      <c r="F94" s="6"/>
      <c r="G94" s="11" t="s">
        <v>22</v>
      </c>
      <c r="H94" s="6"/>
      <c r="I94" s="9">
        <f>C94/D94/24</f>
        <v>29.666666666666668</v>
      </c>
      <c r="J94"/>
      <c r="K94" s="2" t="s">
        <v>20</v>
      </c>
      <c r="L94" s="1" t="s">
        <v>17</v>
      </c>
      <c r="M94" s="2" t="s">
        <v>34</v>
      </c>
      <c r="N94" s="2">
        <v>6</v>
      </c>
      <c r="O94" s="2">
        <f>N94*C94</f>
        <v>534</v>
      </c>
    </row>
    <row r="95" spans="2:12" ht="12.75">
      <c r="B95"/>
      <c r="C95" s="6"/>
      <c r="D95" s="6"/>
      <c r="E95"/>
      <c r="F95" s="6"/>
      <c r="G95" s="6"/>
      <c r="H95" s="6"/>
      <c r="J95"/>
      <c r="L95" s="1"/>
    </row>
    <row r="96" spans="2:19" ht="12.75">
      <c r="B96"/>
      <c r="C96"/>
      <c r="D96"/>
      <c r="E96"/>
      <c r="F96"/>
      <c r="G96"/>
      <c r="H96"/>
      <c r="I96"/>
      <c r="J96"/>
      <c r="K96"/>
      <c r="L96" s="1" t="s">
        <v>17</v>
      </c>
      <c r="M96" s="2" t="s">
        <v>18</v>
      </c>
      <c r="N96" s="2">
        <f>SUM(N87:N88)</f>
        <v>4</v>
      </c>
      <c r="O96" s="2">
        <f>SUM(O87:O88)</f>
        <v>696.4</v>
      </c>
      <c r="P96" s="13">
        <f>N96/N98</f>
        <v>0.1</v>
      </c>
      <c r="Q96" s="13">
        <f>O96/O98</f>
        <v>0.07076948091540994</v>
      </c>
      <c r="S96"/>
    </row>
    <row r="97" spans="2:19" ht="12.75">
      <c r="B97"/>
      <c r="C97"/>
      <c r="D97" s="19"/>
      <c r="E97"/>
      <c r="F97"/>
      <c r="G97"/>
      <c r="H97"/>
      <c r="I97"/>
      <c r="J97"/>
      <c r="K97"/>
      <c r="L97" s="1" t="s">
        <v>17</v>
      </c>
      <c r="M97" s="2" t="s">
        <v>34</v>
      </c>
      <c r="N97" s="2">
        <f>SUM(N89:N94)</f>
        <v>36</v>
      </c>
      <c r="O97" s="2">
        <f>SUM(O89:O94)</f>
        <v>9144</v>
      </c>
      <c r="P97" s="13">
        <f>N97/N98</f>
        <v>0.9</v>
      </c>
      <c r="Q97" s="13">
        <f>O97/O98</f>
        <v>0.9292305190845901</v>
      </c>
      <c r="S97"/>
    </row>
    <row r="98" spans="2:19" ht="12.75">
      <c r="B98"/>
      <c r="E98"/>
      <c r="J98"/>
      <c r="L98" s="1" t="s">
        <v>17</v>
      </c>
      <c r="M98" t="s">
        <v>25</v>
      </c>
      <c r="N98" s="2">
        <f>N97+N96</f>
        <v>40</v>
      </c>
      <c r="O98" s="2">
        <f>O97+O96</f>
        <v>9840.4</v>
      </c>
      <c r="S98"/>
    </row>
    <row r="99" spans="1:256"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2.75">
      <c r="A100" s="3">
        <v>1958</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2.75">
      <c r="A101" s="4" t="s">
        <v>0</v>
      </c>
      <c r="B101" s="4" t="s">
        <v>1</v>
      </c>
      <c r="C101" s="4" t="s">
        <v>2</v>
      </c>
      <c r="D101" s="4" t="s">
        <v>3</v>
      </c>
      <c r="E101" s="5" t="s">
        <v>4</v>
      </c>
      <c r="F101" s="4" t="s">
        <v>5</v>
      </c>
      <c r="G101" s="4" t="s">
        <v>6</v>
      </c>
      <c r="H101" s="4" t="s">
        <v>7</v>
      </c>
      <c r="I101" s="4" t="s">
        <v>8</v>
      </c>
      <c r="J101" s="5" t="s">
        <v>4</v>
      </c>
      <c r="K101" s="4" t="s">
        <v>9</v>
      </c>
      <c r="L101" s="4" t="s">
        <v>10</v>
      </c>
      <c r="M101" s="4" t="s">
        <v>11</v>
      </c>
      <c r="N101" s="4" t="s">
        <v>12</v>
      </c>
      <c r="O101" s="4" t="s">
        <v>13</v>
      </c>
      <c r="P101" s="4" t="s">
        <v>26</v>
      </c>
      <c r="Q101" s="4" t="s">
        <v>27</v>
      </c>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19" ht="12.75">
      <c r="A102" s="6">
        <v>1</v>
      </c>
      <c r="B102" s="2" t="s">
        <v>14</v>
      </c>
      <c r="C102" s="7">
        <v>174.1</v>
      </c>
      <c r="D102" s="8">
        <v>0.2569444444444444</v>
      </c>
      <c r="E102" s="10">
        <f>D102-1/24*25/60</f>
        <v>0.23958333333333331</v>
      </c>
      <c r="F102" s="6"/>
      <c r="G102" s="6" t="s">
        <v>54</v>
      </c>
      <c r="H102" s="6" t="s">
        <v>50</v>
      </c>
      <c r="I102" s="9">
        <f>C102/D102/24</f>
        <v>28.232432432432432</v>
      </c>
      <c r="J102" s="9">
        <f>C102/E102/24</f>
        <v>30.27826086956522</v>
      </c>
      <c r="K102" s="2" t="s">
        <v>16</v>
      </c>
      <c r="L102" s="1" t="s">
        <v>17</v>
      </c>
      <c r="M102" s="2" t="s">
        <v>18</v>
      </c>
      <c r="N102" s="2">
        <v>2</v>
      </c>
      <c r="O102" s="2">
        <f>N102*C102</f>
        <v>348.2</v>
      </c>
      <c r="S102"/>
    </row>
    <row r="103" spans="1:19" ht="12.75">
      <c r="A103" s="6">
        <v>2</v>
      </c>
      <c r="B103" s="2" t="s">
        <v>19</v>
      </c>
      <c r="C103" s="7">
        <v>174.1</v>
      </c>
      <c r="D103" s="8">
        <v>0.2777777777777778</v>
      </c>
      <c r="E103" s="10">
        <f>D103-1/48</f>
        <v>0.2569444444444445</v>
      </c>
      <c r="F103" s="6"/>
      <c r="G103" s="6" t="s">
        <v>54</v>
      </c>
      <c r="H103" s="6" t="s">
        <v>50</v>
      </c>
      <c r="I103" s="9">
        <f>C103/D103/24</f>
        <v>26.115</v>
      </c>
      <c r="J103" s="9">
        <f>C103/E103/24</f>
        <v>28.23243243243243</v>
      </c>
      <c r="K103" s="2" t="s">
        <v>20</v>
      </c>
      <c r="L103" s="1" t="s">
        <v>17</v>
      </c>
      <c r="M103" s="2" t="s">
        <v>18</v>
      </c>
      <c r="N103" s="2">
        <v>2</v>
      </c>
      <c r="O103" s="2">
        <f>N103*C103</f>
        <v>348.2</v>
      </c>
      <c r="R103"/>
      <c r="S103"/>
    </row>
    <row r="104" spans="2:19" ht="12.75">
      <c r="B104" s="6" t="s">
        <v>56</v>
      </c>
      <c r="C104" s="6">
        <v>573</v>
      </c>
      <c r="D104" s="10">
        <f>'1958'!F13-'1958'!F7+1</f>
        <v>0.4965277777777778</v>
      </c>
      <c r="E104"/>
      <c r="F104" s="4" t="s">
        <v>31</v>
      </c>
      <c r="G104" s="2" t="s">
        <v>64</v>
      </c>
      <c r="H104" s="2" t="s">
        <v>65</v>
      </c>
      <c r="I104" s="9">
        <f>C104/D104/24</f>
        <v>48.08391608391608</v>
      </c>
      <c r="J104"/>
      <c r="K104" s="2" t="s">
        <v>16</v>
      </c>
      <c r="L104" s="1" t="s">
        <v>17</v>
      </c>
      <c r="M104" s="2" t="s">
        <v>34</v>
      </c>
      <c r="N104" s="2">
        <v>2</v>
      </c>
      <c r="O104" s="2">
        <f>N104*C104</f>
        <v>1146</v>
      </c>
      <c r="R104"/>
      <c r="S104"/>
    </row>
    <row r="105" spans="2:19" ht="12.75">
      <c r="B105" s="1" t="s">
        <v>59</v>
      </c>
      <c r="C105" s="6">
        <v>573</v>
      </c>
      <c r="D105" s="10">
        <f>'1958'!E24-'1958'!E18+1</f>
        <v>0.48958333333333337</v>
      </c>
      <c r="E105"/>
      <c r="F105" s="4" t="s">
        <v>31</v>
      </c>
      <c r="G105" s="2" t="s">
        <v>66</v>
      </c>
      <c r="H105" s="2" t="s">
        <v>65</v>
      </c>
      <c r="I105" s="9">
        <f>C105/D105/24</f>
        <v>48.76595744680851</v>
      </c>
      <c r="J105"/>
      <c r="K105" s="2" t="s">
        <v>20</v>
      </c>
      <c r="L105" s="1" t="s">
        <v>17</v>
      </c>
      <c r="M105" s="2" t="s">
        <v>34</v>
      </c>
      <c r="N105" s="2">
        <v>2</v>
      </c>
      <c r="O105" s="2">
        <f>N105*C105</f>
        <v>1146</v>
      </c>
      <c r="R105"/>
      <c r="S105"/>
    </row>
    <row r="106" spans="2:19" ht="12.75">
      <c r="B106" s="1" t="s">
        <v>60</v>
      </c>
      <c r="C106">
        <v>100</v>
      </c>
      <c r="D106" s="8">
        <v>0.09375</v>
      </c>
      <c r="E106"/>
      <c r="F106" s="6"/>
      <c r="G106" s="11" t="s">
        <v>22</v>
      </c>
      <c r="H106" s="6"/>
      <c r="I106" s="9">
        <f>C106/D106/24</f>
        <v>44.44444444444445</v>
      </c>
      <c r="J106"/>
      <c r="K106" s="2" t="s">
        <v>20</v>
      </c>
      <c r="L106" s="1" t="s">
        <v>17</v>
      </c>
      <c r="M106" s="2" t="s">
        <v>34</v>
      </c>
      <c r="N106" s="2">
        <v>6</v>
      </c>
      <c r="O106" s="2">
        <f>N106*C106</f>
        <v>600</v>
      </c>
      <c r="R106"/>
      <c r="S106"/>
    </row>
    <row r="107" spans="2:19" ht="12.75">
      <c r="B107" s="1" t="s">
        <v>61</v>
      </c>
      <c r="C107">
        <v>100</v>
      </c>
      <c r="D107" s="8">
        <v>0.08680555555555555</v>
      </c>
      <c r="E107"/>
      <c r="F107" s="6"/>
      <c r="G107" s="11" t="s">
        <v>22</v>
      </c>
      <c r="H107" s="6"/>
      <c r="I107" s="9">
        <f>C107/D107/24</f>
        <v>48</v>
      </c>
      <c r="J107"/>
      <c r="K107" s="2" t="s">
        <v>16</v>
      </c>
      <c r="L107" s="1" t="s">
        <v>17</v>
      </c>
      <c r="M107" s="2" t="s">
        <v>34</v>
      </c>
      <c r="N107" s="2">
        <v>6</v>
      </c>
      <c r="O107" s="2">
        <f>N107*C107</f>
        <v>600</v>
      </c>
      <c r="R107"/>
      <c r="S107"/>
    </row>
    <row r="108" spans="2:19" ht="12.75">
      <c r="B108"/>
      <c r="C108" s="6"/>
      <c r="D108" s="6"/>
      <c r="E108"/>
      <c r="F108" s="6"/>
      <c r="G108" s="6"/>
      <c r="H108" s="6"/>
      <c r="J108"/>
      <c r="L108" s="1"/>
      <c r="S108"/>
    </row>
    <row r="109" spans="2:19" ht="12.75">
      <c r="B109"/>
      <c r="C109"/>
      <c r="D109"/>
      <c r="E109"/>
      <c r="F109"/>
      <c r="G109"/>
      <c r="H109"/>
      <c r="I109"/>
      <c r="J109"/>
      <c r="K109"/>
      <c r="L109" s="1" t="s">
        <v>17</v>
      </c>
      <c r="M109" s="2" t="s">
        <v>18</v>
      </c>
      <c r="N109" s="2">
        <f>SUM(N102:N103)</f>
        <v>4</v>
      </c>
      <c r="O109" s="2">
        <f>SUM(O102:O103)</f>
        <v>696.4</v>
      </c>
      <c r="P109" s="13">
        <f>N109/N111</f>
        <v>0.2</v>
      </c>
      <c r="Q109" s="13">
        <f>O109/O111</f>
        <v>0.1662687422404737</v>
      </c>
      <c r="S109"/>
    </row>
    <row r="110" spans="2:19" ht="12.75">
      <c r="B110"/>
      <c r="C110"/>
      <c r="D110" s="19"/>
      <c r="E110"/>
      <c r="F110"/>
      <c r="G110"/>
      <c r="H110"/>
      <c r="I110"/>
      <c r="J110"/>
      <c r="K110"/>
      <c r="L110" s="1" t="s">
        <v>17</v>
      </c>
      <c r="M110" s="2" t="s">
        <v>34</v>
      </c>
      <c r="N110" s="2">
        <f>SUM(N104:N107)</f>
        <v>16</v>
      </c>
      <c r="O110" s="2">
        <f>SUM(O104:O107)</f>
        <v>3492</v>
      </c>
      <c r="P110" s="13">
        <f>N110/N111</f>
        <v>0.8</v>
      </c>
      <c r="Q110" s="13">
        <f>O110/O111</f>
        <v>0.8337312577595264</v>
      </c>
      <c r="S110"/>
    </row>
    <row r="111" spans="2:19" ht="12.75">
      <c r="B111"/>
      <c r="E111"/>
      <c r="J111"/>
      <c r="L111" s="1" t="s">
        <v>17</v>
      </c>
      <c r="M111" t="s">
        <v>25</v>
      </c>
      <c r="N111" s="2">
        <f>N110+N109</f>
        <v>20</v>
      </c>
      <c r="O111" s="2">
        <f>O110+O109</f>
        <v>4188.4</v>
      </c>
      <c r="S111"/>
    </row>
    <row r="112" spans="1:256"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2.75">
      <c r="A114" s="3">
        <v>1960</v>
      </c>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2.75">
      <c r="A115" s="4" t="s">
        <v>0</v>
      </c>
      <c r="B115" s="4" t="s">
        <v>1</v>
      </c>
      <c r="C115" s="4" t="s">
        <v>2</v>
      </c>
      <c r="D115" s="4" t="s">
        <v>3</v>
      </c>
      <c r="E115" s="5" t="s">
        <v>4</v>
      </c>
      <c r="F115" s="4" t="s">
        <v>5</v>
      </c>
      <c r="G115" s="4" t="s">
        <v>6</v>
      </c>
      <c r="H115" s="4" t="s">
        <v>7</v>
      </c>
      <c r="I115" s="4" t="s">
        <v>8</v>
      </c>
      <c r="J115" s="5" t="s">
        <v>4</v>
      </c>
      <c r="K115" s="4" t="s">
        <v>9</v>
      </c>
      <c r="L115" s="4" t="s">
        <v>10</v>
      </c>
      <c r="M115" s="4" t="s">
        <v>11</v>
      </c>
      <c r="N115" s="4" t="s">
        <v>12</v>
      </c>
      <c r="O115" s="4" t="s">
        <v>13</v>
      </c>
      <c r="P115" s="4" t="s">
        <v>26</v>
      </c>
      <c r="Q115" s="4" t="s">
        <v>27</v>
      </c>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15" ht="12.75">
      <c r="A116" s="6">
        <v>1</v>
      </c>
      <c r="B116" s="2" t="s">
        <v>14</v>
      </c>
      <c r="C116" s="7">
        <v>174.1</v>
      </c>
      <c r="D116" s="8">
        <v>0.2708333333333333</v>
      </c>
      <c r="E116"/>
      <c r="F116" s="6"/>
      <c r="G116" s="6" t="s">
        <v>54</v>
      </c>
      <c r="H116" s="6" t="s">
        <v>50</v>
      </c>
      <c r="I116" s="9">
        <f>C116/D116/24</f>
        <v>26.78461538461539</v>
      </c>
      <c r="J116"/>
      <c r="K116" s="2" t="s">
        <v>16</v>
      </c>
      <c r="L116" s="2" t="s">
        <v>29</v>
      </c>
      <c r="M116" s="2" t="s">
        <v>18</v>
      </c>
      <c r="N116" s="2">
        <v>2</v>
      </c>
      <c r="O116" s="2">
        <f>N116*C116</f>
        <v>348.2</v>
      </c>
    </row>
    <row r="117" spans="1:15" ht="12.75">
      <c r="A117" s="6">
        <v>2</v>
      </c>
      <c r="B117" s="2" t="s">
        <v>19</v>
      </c>
      <c r="C117" s="7">
        <v>174.1</v>
      </c>
      <c r="D117" s="8">
        <v>0.2708333333333333</v>
      </c>
      <c r="E117"/>
      <c r="F117" s="6"/>
      <c r="G117" s="6" t="s">
        <v>54</v>
      </c>
      <c r="H117" s="6" t="s">
        <v>50</v>
      </c>
      <c r="I117" s="9">
        <f>C117/D117/24</f>
        <v>26.78461538461539</v>
      </c>
      <c r="J117"/>
      <c r="K117" s="2" t="s">
        <v>20</v>
      </c>
      <c r="L117" s="2" t="s">
        <v>29</v>
      </c>
      <c r="M117" s="2" t="s">
        <v>18</v>
      </c>
      <c r="N117" s="2">
        <v>2</v>
      </c>
      <c r="O117" s="2">
        <f>N117*C117</f>
        <v>348.2</v>
      </c>
    </row>
    <row r="118" spans="1:15" ht="12.75">
      <c r="A118" s="6"/>
      <c r="B118" s="2" t="s">
        <v>14</v>
      </c>
      <c r="C118" s="7">
        <v>174.1</v>
      </c>
      <c r="D118" s="8"/>
      <c r="E118"/>
      <c r="F118" s="6"/>
      <c r="G118" s="6" t="s">
        <v>54</v>
      </c>
      <c r="H118"/>
      <c r="I118" s="9"/>
      <c r="J118"/>
      <c r="K118" s="2" t="s">
        <v>16</v>
      </c>
      <c r="L118" s="1" t="s">
        <v>17</v>
      </c>
      <c r="M118" s="2" t="s">
        <v>18</v>
      </c>
      <c r="N118" s="2">
        <v>2</v>
      </c>
      <c r="O118" s="2">
        <f>N118*C118</f>
        <v>348.2</v>
      </c>
    </row>
    <row r="119" spans="1:256" ht="12.75">
      <c r="A119"/>
      <c r="B119" s="2" t="s">
        <v>19</v>
      </c>
      <c r="C119" s="7">
        <v>174.1</v>
      </c>
      <c r="D119"/>
      <c r="E119"/>
      <c r="F119"/>
      <c r="G119" s="6" t="s">
        <v>54</v>
      </c>
      <c r="H119"/>
      <c r="I119"/>
      <c r="J119"/>
      <c r="K119" s="2" t="s">
        <v>20</v>
      </c>
      <c r="L119" s="1" t="s">
        <v>17</v>
      </c>
      <c r="M119" s="2" t="s">
        <v>18</v>
      </c>
      <c r="N119">
        <v>2</v>
      </c>
      <c r="O119" s="2">
        <f>N119*C119</f>
        <v>348.2</v>
      </c>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15" ht="12.75">
      <c r="A120" s="1">
        <v>6</v>
      </c>
      <c r="B120" s="6" t="s">
        <v>56</v>
      </c>
      <c r="C120" s="6">
        <v>573</v>
      </c>
      <c r="D120" s="8">
        <v>0.5</v>
      </c>
      <c r="E120" s="10">
        <f>D120-1/24*10/60</f>
        <v>0.4930555555555556</v>
      </c>
      <c r="F120" s="3" t="s">
        <v>57</v>
      </c>
      <c r="G120" s="15" t="s">
        <v>15</v>
      </c>
      <c r="H120" s="6"/>
      <c r="I120" s="9">
        <f>C120/D120/24</f>
        <v>47.75</v>
      </c>
      <c r="J120" s="9">
        <f>C120/E120/24</f>
        <v>48.42253521126761</v>
      </c>
      <c r="K120" s="2" t="s">
        <v>16</v>
      </c>
      <c r="L120" s="1" t="s">
        <v>29</v>
      </c>
      <c r="M120" s="2" t="s">
        <v>34</v>
      </c>
      <c r="N120" s="2">
        <v>7</v>
      </c>
      <c r="O120" s="2">
        <f>N120*C120</f>
        <v>4011</v>
      </c>
    </row>
    <row r="121" spans="1:15" ht="12.75">
      <c r="A121" s="1">
        <v>5</v>
      </c>
      <c r="B121" s="1" t="s">
        <v>59</v>
      </c>
      <c r="C121" s="6">
        <v>573</v>
      </c>
      <c r="D121" s="8">
        <v>0.4895833333333333</v>
      </c>
      <c r="E121" s="10">
        <f>D121-1/24*7/60</f>
        <v>0.4847222222222222</v>
      </c>
      <c r="F121" s="3" t="s">
        <v>57</v>
      </c>
      <c r="G121" s="15" t="s">
        <v>15</v>
      </c>
      <c r="H121" s="6"/>
      <c r="I121" s="9">
        <f>C121/D121/24</f>
        <v>48.76595744680851</v>
      </c>
      <c r="J121" s="9">
        <f>C121/E121/24</f>
        <v>49.25501432664757</v>
      </c>
      <c r="K121" s="2" t="s">
        <v>20</v>
      </c>
      <c r="L121" s="1" t="s">
        <v>29</v>
      </c>
      <c r="M121" s="2" t="s">
        <v>34</v>
      </c>
      <c r="N121" s="2">
        <v>7</v>
      </c>
      <c r="O121" s="2">
        <f>N121*C121</f>
        <v>4011</v>
      </c>
    </row>
    <row r="122" spans="1:15" ht="12.75">
      <c r="A122" s="1">
        <v>3</v>
      </c>
      <c r="B122" s="1" t="s">
        <v>60</v>
      </c>
      <c r="C122">
        <v>100</v>
      </c>
      <c r="D122" s="8">
        <v>0.09027777777777778</v>
      </c>
      <c r="E122"/>
      <c r="F122" s="6"/>
      <c r="G122" s="15" t="s">
        <v>15</v>
      </c>
      <c r="H122" s="6"/>
      <c r="I122" s="9">
        <f>C122/D122/24</f>
        <v>46.15384615384615</v>
      </c>
      <c r="J122"/>
      <c r="K122" s="2" t="s">
        <v>20</v>
      </c>
      <c r="L122" s="1" t="s">
        <v>29</v>
      </c>
      <c r="M122" s="2" t="s">
        <v>34</v>
      </c>
      <c r="N122" s="2">
        <v>7</v>
      </c>
      <c r="O122" s="2">
        <f>N122*C122</f>
        <v>700</v>
      </c>
    </row>
    <row r="123" spans="1:15" ht="12.75">
      <c r="A123" s="1">
        <v>4</v>
      </c>
      <c r="B123" s="1" t="s">
        <v>61</v>
      </c>
      <c r="C123">
        <v>100</v>
      </c>
      <c r="D123" s="8">
        <v>0.09027777777777778</v>
      </c>
      <c r="E123"/>
      <c r="F123" s="6"/>
      <c r="G123" s="15" t="s">
        <v>15</v>
      </c>
      <c r="H123" s="6"/>
      <c r="I123" s="9">
        <f>C123/D123/24</f>
        <v>46.15384615384615</v>
      </c>
      <c r="J123"/>
      <c r="K123" s="2" t="s">
        <v>16</v>
      </c>
      <c r="L123" s="1" t="s">
        <v>29</v>
      </c>
      <c r="M123" s="2" t="s">
        <v>34</v>
      </c>
      <c r="N123" s="2">
        <v>7</v>
      </c>
      <c r="O123" s="2">
        <f>N123*C123</f>
        <v>700</v>
      </c>
    </row>
    <row r="124" spans="2:12" ht="12.75">
      <c r="B124"/>
      <c r="C124" s="6"/>
      <c r="D124" s="6"/>
      <c r="E124"/>
      <c r="F124" s="6"/>
      <c r="G124" s="6"/>
      <c r="H124" s="6"/>
      <c r="J124"/>
      <c r="L124" s="1"/>
    </row>
    <row r="125" spans="2:17" ht="12.75">
      <c r="B125"/>
      <c r="C125"/>
      <c r="D125"/>
      <c r="E125"/>
      <c r="F125"/>
      <c r="G125"/>
      <c r="H125"/>
      <c r="I125"/>
      <c r="J125"/>
      <c r="K125"/>
      <c r="L125" s="1" t="s">
        <v>29</v>
      </c>
      <c r="M125" s="2" t="s">
        <v>18</v>
      </c>
      <c r="N125" s="2">
        <f>SUM(N116:N117)</f>
        <v>4</v>
      </c>
      <c r="O125" s="2">
        <f>SUM(O116:O117)</f>
        <v>696.4</v>
      </c>
      <c r="P125" s="13">
        <f>N125/N127</f>
        <v>0.125</v>
      </c>
      <c r="Q125" s="13">
        <f>O125/O127</f>
        <v>0.06882511068943707</v>
      </c>
    </row>
    <row r="126" spans="2:17" ht="12.75">
      <c r="B126"/>
      <c r="C126"/>
      <c r="D126" s="19"/>
      <c r="E126"/>
      <c r="F126"/>
      <c r="G126"/>
      <c r="H126"/>
      <c r="I126"/>
      <c r="J126"/>
      <c r="K126"/>
      <c r="L126" t="s">
        <v>29</v>
      </c>
      <c r="M126" s="2" t="s">
        <v>34</v>
      </c>
      <c r="N126" s="2">
        <f>SUM(N120:N123)</f>
        <v>28</v>
      </c>
      <c r="O126" s="2">
        <f>SUM(O120:O123)</f>
        <v>9422</v>
      </c>
      <c r="P126" s="13">
        <f>N126/N127</f>
        <v>0.875</v>
      </c>
      <c r="Q126" s="13">
        <f>O126/O127</f>
        <v>0.9311748893105629</v>
      </c>
    </row>
    <row r="127" spans="2:15" ht="12.75">
      <c r="B127"/>
      <c r="E127"/>
      <c r="J127"/>
      <c r="L127" t="s">
        <v>29</v>
      </c>
      <c r="M127" t="s">
        <v>25</v>
      </c>
      <c r="N127" s="2">
        <f>N126+N125</f>
        <v>32</v>
      </c>
      <c r="O127" s="2">
        <f>O126+O125</f>
        <v>10118.4</v>
      </c>
    </row>
    <row r="128" spans="2:13" ht="12.75">
      <c r="B128"/>
      <c r="C128"/>
      <c r="D128"/>
      <c r="E128"/>
      <c r="F128"/>
      <c r="G128"/>
      <c r="H128"/>
      <c r="I128"/>
      <c r="J128"/>
      <c r="K128"/>
      <c r="L128"/>
      <c r="M128"/>
    </row>
    <row r="129" spans="2:17" ht="12.75">
      <c r="B129"/>
      <c r="C129"/>
      <c r="D129"/>
      <c r="E129"/>
      <c r="F129"/>
      <c r="G129"/>
      <c r="H129"/>
      <c r="I129"/>
      <c r="J129"/>
      <c r="K129"/>
      <c r="L129" s="1" t="s">
        <v>17</v>
      </c>
      <c r="M129" s="2" t="s">
        <v>18</v>
      </c>
      <c r="N129" s="2">
        <f>N119+N118</f>
        <v>4</v>
      </c>
      <c r="O129" s="2">
        <f>O119+O118</f>
        <v>696.4</v>
      </c>
      <c r="P129" s="13">
        <f>N129/N125</f>
        <v>1</v>
      </c>
      <c r="Q129" s="13">
        <f>O129/O125</f>
        <v>1</v>
      </c>
    </row>
    <row r="130" spans="1:256"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2.75">
      <c r="A131" s="3">
        <v>1964</v>
      </c>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2.75">
      <c r="A132" s="4" t="s">
        <v>0</v>
      </c>
      <c r="B132" s="4" t="s">
        <v>1</v>
      </c>
      <c r="C132" s="4" t="s">
        <v>2</v>
      </c>
      <c r="D132" s="4" t="s">
        <v>3</v>
      </c>
      <c r="E132" s="5" t="s">
        <v>4</v>
      </c>
      <c r="F132" s="4" t="s">
        <v>5</v>
      </c>
      <c r="G132" s="4" t="s">
        <v>6</v>
      </c>
      <c r="H132" s="4" t="s">
        <v>7</v>
      </c>
      <c r="I132" s="4" t="s">
        <v>8</v>
      </c>
      <c r="J132" s="5" t="s">
        <v>4</v>
      </c>
      <c r="K132" s="4" t="s">
        <v>9</v>
      </c>
      <c r="L132" s="4" t="s">
        <v>10</v>
      </c>
      <c r="M132" s="4" t="s">
        <v>11</v>
      </c>
      <c r="N132" s="4" t="s">
        <v>12</v>
      </c>
      <c r="O132" s="4" t="s">
        <v>13</v>
      </c>
      <c r="P132" s="4" t="s">
        <v>26</v>
      </c>
      <c r="Q132" s="4" t="s">
        <v>27</v>
      </c>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15" ht="12.75">
      <c r="A133" s="6">
        <v>1</v>
      </c>
      <c r="B133" s="2" t="s">
        <v>14</v>
      </c>
      <c r="C133" s="7">
        <v>174.1</v>
      </c>
      <c r="D133" s="8">
        <v>0.2604166666666667</v>
      </c>
      <c r="E133"/>
      <c r="F133" s="6"/>
      <c r="G133" s="6" t="s">
        <v>15</v>
      </c>
      <c r="H133"/>
      <c r="I133" s="9">
        <f>C133/D133/24</f>
        <v>27.855999999999998</v>
      </c>
      <c r="J133"/>
      <c r="K133" s="2" t="s">
        <v>16</v>
      </c>
      <c r="L133" s="1" t="s">
        <v>17</v>
      </c>
      <c r="M133" s="2" t="s">
        <v>18</v>
      </c>
      <c r="N133" s="2">
        <v>7</v>
      </c>
      <c r="O133" s="2">
        <f>N133*C133</f>
        <v>1218.7</v>
      </c>
    </row>
    <row r="134" spans="1:256" ht="12.75">
      <c r="A134" s="6">
        <v>2</v>
      </c>
      <c r="B134" s="2" t="s">
        <v>19</v>
      </c>
      <c r="C134" s="7">
        <v>174.1</v>
      </c>
      <c r="D134" s="10">
        <v>0.2777777777777778</v>
      </c>
      <c r="E134"/>
      <c r="F134"/>
      <c r="G134" s="6" t="s">
        <v>15</v>
      </c>
      <c r="H134"/>
      <c r="I134" s="9">
        <f>C134/D134/24</f>
        <v>26.115</v>
      </c>
      <c r="J134"/>
      <c r="K134" s="2" t="s">
        <v>20</v>
      </c>
      <c r="L134" s="1" t="s">
        <v>17</v>
      </c>
      <c r="M134" s="2" t="s">
        <v>18</v>
      </c>
      <c r="N134" s="2">
        <v>7</v>
      </c>
      <c r="O134" s="2">
        <f>N134*C134</f>
        <v>1218.7</v>
      </c>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15" ht="12.75">
      <c r="A135" s="1">
        <v>6</v>
      </c>
      <c r="B135" s="6" t="s">
        <v>56</v>
      </c>
      <c r="C135" s="6">
        <v>573</v>
      </c>
      <c r="D135" s="8">
        <v>0.5</v>
      </c>
      <c r="E135" s="10">
        <f>D135-1/24*10/60</f>
        <v>0.4930555555555556</v>
      </c>
      <c r="F135" s="3" t="s">
        <v>57</v>
      </c>
      <c r="G135" s="6" t="s">
        <v>54</v>
      </c>
      <c r="H135" s="6"/>
      <c r="I135" s="9">
        <f>C135/D135/24</f>
        <v>47.75</v>
      </c>
      <c r="J135" s="9">
        <f>C135/E135/24</f>
        <v>48.42253521126761</v>
      </c>
      <c r="K135" s="2" t="s">
        <v>16</v>
      </c>
      <c r="L135" s="1" t="s">
        <v>17</v>
      </c>
      <c r="M135" s="2" t="s">
        <v>34</v>
      </c>
      <c r="N135" s="2">
        <v>2</v>
      </c>
      <c r="O135" s="2">
        <f>N135*C135</f>
        <v>1146</v>
      </c>
    </row>
    <row r="136" spans="1:15" ht="12.75">
      <c r="A136" s="1">
        <v>5</v>
      </c>
      <c r="B136" s="1" t="s">
        <v>59</v>
      </c>
      <c r="C136" s="6">
        <v>573</v>
      </c>
      <c r="D136" s="8">
        <v>0.4895833333333333</v>
      </c>
      <c r="E136" s="10">
        <f>D136-1/24*7/60</f>
        <v>0.4847222222222222</v>
      </c>
      <c r="F136" s="3" t="s">
        <v>57</v>
      </c>
      <c r="G136" s="6" t="s">
        <v>54</v>
      </c>
      <c r="H136" s="6"/>
      <c r="I136" s="9">
        <f>C136/D136/24</f>
        <v>48.76595744680851</v>
      </c>
      <c r="J136" s="9">
        <f>C136/E136/24</f>
        <v>49.25501432664757</v>
      </c>
      <c r="K136" s="2" t="s">
        <v>20</v>
      </c>
      <c r="L136" s="1" t="s">
        <v>17</v>
      </c>
      <c r="M136" s="2" t="s">
        <v>34</v>
      </c>
      <c r="N136" s="2">
        <v>2</v>
      </c>
      <c r="O136" s="2">
        <f>N136*C136</f>
        <v>1146</v>
      </c>
    </row>
    <row r="137" spans="1:15" ht="12.75">
      <c r="A137" s="1">
        <v>3</v>
      </c>
      <c r="B137" s="1" t="s">
        <v>60</v>
      </c>
      <c r="C137">
        <v>100</v>
      </c>
      <c r="D137" s="8"/>
      <c r="E137"/>
      <c r="F137" s="6"/>
      <c r="G137" s="15" t="s">
        <v>67</v>
      </c>
      <c r="H137" s="6"/>
      <c r="I137" s="9"/>
      <c r="J137"/>
      <c r="K137" s="2" t="s">
        <v>20</v>
      </c>
      <c r="L137" s="1" t="s">
        <v>17</v>
      </c>
      <c r="M137" s="2" t="s">
        <v>34</v>
      </c>
      <c r="N137" s="2">
        <v>5</v>
      </c>
      <c r="O137" s="2">
        <f>N137*C137</f>
        <v>500</v>
      </c>
    </row>
    <row r="138" spans="1:15" ht="12.75">
      <c r="A138" s="1">
        <v>4</v>
      </c>
      <c r="B138" s="1" t="s">
        <v>61</v>
      </c>
      <c r="C138">
        <v>100</v>
      </c>
      <c r="D138" s="8"/>
      <c r="E138"/>
      <c r="F138" s="6"/>
      <c r="G138" s="15" t="s">
        <v>67</v>
      </c>
      <c r="H138" s="6"/>
      <c r="I138" s="9"/>
      <c r="J138"/>
      <c r="K138" s="2" t="s">
        <v>16</v>
      </c>
      <c r="L138" s="1" t="s">
        <v>17</v>
      </c>
      <c r="M138" s="2" t="s">
        <v>34</v>
      </c>
      <c r="N138" s="2">
        <v>5</v>
      </c>
      <c r="O138" s="2">
        <f>N138*C138</f>
        <v>500</v>
      </c>
    </row>
    <row r="139" spans="2:12" ht="12.75">
      <c r="B139"/>
      <c r="C139" s="6"/>
      <c r="D139" s="6"/>
      <c r="E139"/>
      <c r="F139" s="6"/>
      <c r="G139" s="6"/>
      <c r="H139" s="6"/>
      <c r="J139"/>
      <c r="L139" s="1"/>
    </row>
    <row r="140" spans="2:17" ht="12.75">
      <c r="B140"/>
      <c r="C140"/>
      <c r="D140"/>
      <c r="E140"/>
      <c r="F140"/>
      <c r="G140"/>
      <c r="H140"/>
      <c r="I140"/>
      <c r="J140"/>
      <c r="K140"/>
      <c r="L140" s="1" t="s">
        <v>17</v>
      </c>
      <c r="M140" s="2" t="s">
        <v>18</v>
      </c>
      <c r="N140" s="2">
        <f>N134+N133</f>
        <v>14</v>
      </c>
      <c r="O140" s="2">
        <f>O134+O133</f>
        <v>2437.4</v>
      </c>
      <c r="P140" s="13">
        <f>N140/N142</f>
        <v>0.5</v>
      </c>
      <c r="Q140" s="13">
        <f>O140/O142</f>
        <v>0.4254197647223095</v>
      </c>
    </row>
    <row r="141" spans="2:17" ht="12.75">
      <c r="B141"/>
      <c r="C141"/>
      <c r="D141" s="19"/>
      <c r="E141"/>
      <c r="F141"/>
      <c r="G141"/>
      <c r="H141"/>
      <c r="I141"/>
      <c r="J141"/>
      <c r="K141"/>
      <c r="L141" s="1" t="s">
        <v>17</v>
      </c>
      <c r="M141" s="2" t="s">
        <v>34</v>
      </c>
      <c r="N141" s="2">
        <f>SUM(N135:N138)</f>
        <v>14</v>
      </c>
      <c r="O141" s="2">
        <f>SUM(O135:O138)</f>
        <v>3292</v>
      </c>
      <c r="P141" s="13">
        <f>N141/N142</f>
        <v>0.5</v>
      </c>
      <c r="Q141" s="13">
        <f>O141/O142</f>
        <v>0.5745802352776905</v>
      </c>
    </row>
    <row r="142" spans="2:15" ht="12.75">
      <c r="B142"/>
      <c r="E142"/>
      <c r="J142"/>
      <c r="L142" s="1" t="s">
        <v>17</v>
      </c>
      <c r="M142" t="s">
        <v>25</v>
      </c>
      <c r="N142" s="2">
        <f>N141+N140</f>
        <v>28</v>
      </c>
      <c r="O142" s="2">
        <f>O141+O140</f>
        <v>5729.4</v>
      </c>
    </row>
    <row r="143" spans="2:17" ht="12.75">
      <c r="B143"/>
      <c r="C143"/>
      <c r="D143"/>
      <c r="E143"/>
      <c r="F143"/>
      <c r="G143"/>
      <c r="H143"/>
      <c r="I143"/>
      <c r="J143"/>
      <c r="K143"/>
      <c r="L143" s="1"/>
      <c r="P143" s="13"/>
      <c r="Q143" s="13"/>
    </row>
    <row r="144" spans="1:256" ht="12.75">
      <c r="A144" s="3">
        <v>1974</v>
      </c>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2.75">
      <c r="A145" s="4" t="s">
        <v>0</v>
      </c>
      <c r="B145" s="4" t="s">
        <v>1</v>
      </c>
      <c r="C145" s="4" t="s">
        <v>2</v>
      </c>
      <c r="D145" s="4" t="s">
        <v>3</v>
      </c>
      <c r="E145" s="5" t="s">
        <v>4</v>
      </c>
      <c r="F145" s="4" t="s">
        <v>5</v>
      </c>
      <c r="G145" s="4" t="s">
        <v>6</v>
      </c>
      <c r="H145" s="4" t="s">
        <v>7</v>
      </c>
      <c r="I145" s="4" t="s">
        <v>8</v>
      </c>
      <c r="J145" s="5" t="s">
        <v>4</v>
      </c>
      <c r="K145" s="4" t="s">
        <v>9</v>
      </c>
      <c r="L145" s="4" t="s">
        <v>10</v>
      </c>
      <c r="M145" s="4" t="s">
        <v>11</v>
      </c>
      <c r="N145" s="4" t="s">
        <v>12</v>
      </c>
      <c r="O145" s="4" t="s">
        <v>13</v>
      </c>
      <c r="P145" s="4" t="s">
        <v>26</v>
      </c>
      <c r="Q145" s="4" t="s">
        <v>27</v>
      </c>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15" ht="12.75">
      <c r="A146" s="6">
        <v>1</v>
      </c>
      <c r="B146" s="2" t="s">
        <v>14</v>
      </c>
      <c r="C146" s="7">
        <v>174.1</v>
      </c>
      <c r="D146" s="8">
        <v>0.2604166666666667</v>
      </c>
      <c r="E146"/>
      <c r="F146" s="6"/>
      <c r="G146" s="6" t="s">
        <v>15</v>
      </c>
      <c r="H146"/>
      <c r="I146" s="9">
        <f>C146/D146/24</f>
        <v>27.855999999999998</v>
      </c>
      <c r="J146"/>
      <c r="K146" s="2" t="s">
        <v>16</v>
      </c>
      <c r="L146" s="2" t="s">
        <v>29</v>
      </c>
      <c r="M146" s="2" t="s">
        <v>18</v>
      </c>
      <c r="N146" s="2">
        <v>7</v>
      </c>
      <c r="O146" s="2">
        <f>N146*C146</f>
        <v>1218.7</v>
      </c>
    </row>
    <row r="147" spans="1:256" ht="12.75">
      <c r="A147" s="6">
        <v>2</v>
      </c>
      <c r="B147" s="2" t="s">
        <v>19</v>
      </c>
      <c r="C147" s="7">
        <v>174.1</v>
      </c>
      <c r="D147" s="10">
        <v>0.2777777777777778</v>
      </c>
      <c r="E147"/>
      <c r="F147"/>
      <c r="G147" s="6" t="s">
        <v>15</v>
      </c>
      <c r="H147"/>
      <c r="I147" s="9">
        <f>C147/D147/24</f>
        <v>26.115</v>
      </c>
      <c r="J147"/>
      <c r="K147" s="2" t="s">
        <v>20</v>
      </c>
      <c r="L147" s="2" t="s">
        <v>29</v>
      </c>
      <c r="M147" s="2" t="s">
        <v>18</v>
      </c>
      <c r="N147" s="2">
        <v>7</v>
      </c>
      <c r="O147" s="2">
        <f>N147*C147</f>
        <v>1218.7</v>
      </c>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15" ht="12.75">
      <c r="A148" s="1">
        <v>6</v>
      </c>
      <c r="B148" s="6" t="s">
        <v>56</v>
      </c>
      <c r="C148" s="6">
        <v>573</v>
      </c>
      <c r="D148" s="8">
        <v>0.4791666666666667</v>
      </c>
      <c r="E148" s="10"/>
      <c r="F148" s="3" t="s">
        <v>57</v>
      </c>
      <c r="G148" s="6" t="s">
        <v>15</v>
      </c>
      <c r="H148" s="6"/>
      <c r="I148" s="9">
        <f>C148/D148/24</f>
        <v>49.82608695652174</v>
      </c>
      <c r="J148" s="9"/>
      <c r="K148" s="2" t="s">
        <v>16</v>
      </c>
      <c r="L148" s="2" t="s">
        <v>29</v>
      </c>
      <c r="M148" s="2" t="s">
        <v>34</v>
      </c>
      <c r="N148" s="2">
        <v>7</v>
      </c>
      <c r="O148" s="2">
        <f>N148*C148</f>
        <v>4011</v>
      </c>
    </row>
    <row r="149" spans="1:15" ht="12.75">
      <c r="A149" s="1">
        <v>5</v>
      </c>
      <c r="B149" s="1" t="s">
        <v>59</v>
      </c>
      <c r="C149" s="6">
        <v>573</v>
      </c>
      <c r="D149" s="8">
        <v>0.46875</v>
      </c>
      <c r="E149" s="10"/>
      <c r="F149" s="3" t="s">
        <v>57</v>
      </c>
      <c r="G149" s="6" t="s">
        <v>15</v>
      </c>
      <c r="H149" s="6"/>
      <c r="I149" s="9">
        <f>C149/D149/24</f>
        <v>50.93333333333334</v>
      </c>
      <c r="J149" s="9"/>
      <c r="K149" s="2" t="s">
        <v>20</v>
      </c>
      <c r="L149" s="2" t="s">
        <v>29</v>
      </c>
      <c r="M149" s="2" t="s">
        <v>34</v>
      </c>
      <c r="N149" s="2">
        <v>7</v>
      </c>
      <c r="O149" s="2">
        <f>N149*C149</f>
        <v>4011</v>
      </c>
    </row>
    <row r="150" spans="2:15" ht="12.75">
      <c r="B150" s="1" t="s">
        <v>60</v>
      </c>
      <c r="C150">
        <v>100</v>
      </c>
      <c r="D150" s="8">
        <v>0.1111111111111111</v>
      </c>
      <c r="E150" s="10">
        <v>0.08680555555555555</v>
      </c>
      <c r="F150" s="6"/>
      <c r="G150" s="15" t="s">
        <v>68</v>
      </c>
      <c r="H150" s="6"/>
      <c r="I150" s="9">
        <f>C150/D150/24</f>
        <v>37.5</v>
      </c>
      <c r="J150" s="9">
        <f>C150/E150/24</f>
        <v>48</v>
      </c>
      <c r="K150" s="2" t="s">
        <v>20</v>
      </c>
      <c r="L150" s="2" t="s">
        <v>29</v>
      </c>
      <c r="M150" s="2" t="s">
        <v>34</v>
      </c>
      <c r="N150">
        <v>6</v>
      </c>
      <c r="O150" s="2">
        <f>N150*C150</f>
        <v>600</v>
      </c>
    </row>
    <row r="151" spans="2:15" ht="12.75">
      <c r="B151" s="1" t="s">
        <v>61</v>
      </c>
      <c r="C151">
        <v>100</v>
      </c>
      <c r="D151" s="8">
        <v>0.09375</v>
      </c>
      <c r="E151" s="10">
        <v>0.08680555555555555</v>
      </c>
      <c r="F151" s="6"/>
      <c r="G151" s="15" t="s">
        <v>68</v>
      </c>
      <c r="H151" s="6"/>
      <c r="I151" s="9">
        <f>C151/D151/24</f>
        <v>44.44444444444445</v>
      </c>
      <c r="J151" s="9">
        <f>C151/E151/24</f>
        <v>48</v>
      </c>
      <c r="K151" s="2" t="s">
        <v>16</v>
      </c>
      <c r="L151" s="2" t="s">
        <v>29</v>
      </c>
      <c r="M151" s="2" t="s">
        <v>34</v>
      </c>
      <c r="N151">
        <v>6</v>
      </c>
      <c r="O151" s="2">
        <f>N151*C151</f>
        <v>600</v>
      </c>
    </row>
    <row r="152" spans="1:15" ht="12.75">
      <c r="A152"/>
      <c r="B152" s="1" t="s">
        <v>69</v>
      </c>
      <c r="C152" s="20">
        <v>20</v>
      </c>
      <c r="D152" s="10">
        <v>0.024305555555555556</v>
      </c>
      <c r="E152"/>
      <c r="F152"/>
      <c r="G152" s="15" t="s">
        <v>70</v>
      </c>
      <c r="H152"/>
      <c r="I152" s="9">
        <f>C152/D152/24</f>
        <v>34.285714285714285</v>
      </c>
      <c r="J152"/>
      <c r="K152" s="2" t="s">
        <v>20</v>
      </c>
      <c r="L152" s="2" t="s">
        <v>29</v>
      </c>
      <c r="M152" s="2" t="s">
        <v>34</v>
      </c>
      <c r="N152" s="17">
        <f>2*6</f>
        <v>12</v>
      </c>
      <c r="O152" s="2">
        <f>N152*C152</f>
        <v>240</v>
      </c>
    </row>
    <row r="153" spans="1:15" ht="12.75">
      <c r="A153"/>
      <c r="B153" s="1" t="s">
        <v>71</v>
      </c>
      <c r="C153" s="20">
        <v>20</v>
      </c>
      <c r="D153" s="10">
        <v>0.024305555555555556</v>
      </c>
      <c r="E153"/>
      <c r="F153"/>
      <c r="G153" s="15" t="s">
        <v>70</v>
      </c>
      <c r="H153"/>
      <c r="I153" s="9">
        <f>C153/D153/24</f>
        <v>34.285714285714285</v>
      </c>
      <c r="J153"/>
      <c r="K153" s="2" t="s">
        <v>16</v>
      </c>
      <c r="L153" s="2" t="s">
        <v>29</v>
      </c>
      <c r="M153" s="2" t="s">
        <v>34</v>
      </c>
      <c r="N153" s="17">
        <f>2*6</f>
        <v>12</v>
      </c>
      <c r="O153" s="2">
        <f>N153*C153</f>
        <v>240</v>
      </c>
    </row>
    <row r="154" spans="2:12" ht="12.75">
      <c r="B154"/>
      <c r="C154" s="6"/>
      <c r="D154" s="6"/>
      <c r="E154"/>
      <c r="F154" s="6"/>
      <c r="G154" s="6"/>
      <c r="H154" s="6"/>
      <c r="J154"/>
      <c r="L154" s="1"/>
    </row>
    <row r="155" spans="2:17" ht="12.75">
      <c r="B155"/>
      <c r="C155"/>
      <c r="D155"/>
      <c r="E155"/>
      <c r="F155"/>
      <c r="G155"/>
      <c r="H155"/>
      <c r="I155"/>
      <c r="J155"/>
      <c r="K155"/>
      <c r="L155" s="2" t="s">
        <v>29</v>
      </c>
      <c r="M155" s="2" t="s">
        <v>18</v>
      </c>
      <c r="N155" s="2">
        <f>N147+N146</f>
        <v>14</v>
      </c>
      <c r="O155" s="2">
        <f>O147+O146</f>
        <v>2437.4</v>
      </c>
      <c r="P155" s="13">
        <f>N155/N157</f>
        <v>0.21875</v>
      </c>
      <c r="Q155" s="13">
        <f>O155/O157</f>
        <v>0.2007842232729789</v>
      </c>
    </row>
    <row r="156" spans="2:17" ht="12.75">
      <c r="B156"/>
      <c r="C156"/>
      <c r="D156" s="19"/>
      <c r="E156"/>
      <c r="F156"/>
      <c r="G156"/>
      <c r="H156"/>
      <c r="I156"/>
      <c r="J156"/>
      <c r="K156"/>
      <c r="L156" s="2" t="s">
        <v>29</v>
      </c>
      <c r="M156" s="2" t="s">
        <v>34</v>
      </c>
      <c r="N156" s="2">
        <f>SUM(N148:N153)</f>
        <v>50</v>
      </c>
      <c r="O156" s="2">
        <f>SUM(O148:O153)</f>
        <v>9702</v>
      </c>
      <c r="P156" s="13">
        <f>N156/N157</f>
        <v>0.78125</v>
      </c>
      <c r="Q156" s="13">
        <f>O156/O157</f>
        <v>0.7992157767270212</v>
      </c>
    </row>
    <row r="157" spans="2:15" ht="12.75">
      <c r="B157"/>
      <c r="E157"/>
      <c r="J157"/>
      <c r="K157"/>
      <c r="L157" s="2" t="s">
        <v>29</v>
      </c>
      <c r="M157" t="s">
        <v>25</v>
      </c>
      <c r="N157" s="2">
        <f>N156+N155</f>
        <v>64</v>
      </c>
      <c r="O157" s="2">
        <f>O156+O155</f>
        <v>12139.4</v>
      </c>
    </row>
    <row r="158" spans="1:256"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2.75">
      <c r="A159" s="3" t="s">
        <v>72</v>
      </c>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12.75">
      <c r="A160" s="4" t="s">
        <v>0</v>
      </c>
      <c r="B160" s="4" t="s">
        <v>1</v>
      </c>
      <c r="C160" s="4" t="s">
        <v>2</v>
      </c>
      <c r="D160" s="4" t="s">
        <v>3</v>
      </c>
      <c r="E160" s="5" t="s">
        <v>4</v>
      </c>
      <c r="F160" s="4" t="s">
        <v>5</v>
      </c>
      <c r="G160" s="4" t="s">
        <v>6</v>
      </c>
      <c r="H160" s="4" t="s">
        <v>7</v>
      </c>
      <c r="I160" s="4" t="s">
        <v>8</v>
      </c>
      <c r="J160" s="5" t="s">
        <v>4</v>
      </c>
      <c r="K160" s="4" t="s">
        <v>9</v>
      </c>
      <c r="L160" s="4" t="s">
        <v>10</v>
      </c>
      <c r="M160" s="4" t="s">
        <v>11</v>
      </c>
      <c r="N160" s="4" t="s">
        <v>12</v>
      </c>
      <c r="O160" s="4" t="s">
        <v>13</v>
      </c>
      <c r="P160" s="4" t="s">
        <v>26</v>
      </c>
      <c r="Q160" s="4" t="s">
        <v>27</v>
      </c>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2.75">
      <c r="A161" s="6">
        <v>1</v>
      </c>
      <c r="B161" s="2" t="s">
        <v>14</v>
      </c>
      <c r="C161" s="7">
        <v>174.1</v>
      </c>
      <c r="D161" s="8">
        <v>0.2604166666666667</v>
      </c>
      <c r="E161"/>
      <c r="F161" s="6"/>
      <c r="G161" s="6" t="s">
        <v>15</v>
      </c>
      <c r="H161"/>
      <c r="I161" s="9">
        <f>C161/D161/24</f>
        <v>27.855999999999998</v>
      </c>
      <c r="J161"/>
      <c r="K161" s="2" t="s">
        <v>16</v>
      </c>
      <c r="L161" s="1" t="s">
        <v>17</v>
      </c>
      <c r="M161" s="2" t="s">
        <v>18</v>
      </c>
      <c r="N161" s="2">
        <v>7</v>
      </c>
      <c r="O161" s="2">
        <f>N161*C161</f>
        <v>1218.7</v>
      </c>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12.75">
      <c r="A162" s="6">
        <v>2</v>
      </c>
      <c r="B162" s="2" t="s">
        <v>19</v>
      </c>
      <c r="C162" s="7">
        <v>174.1</v>
      </c>
      <c r="D162" s="10">
        <v>0.2777777777777778</v>
      </c>
      <c r="E162"/>
      <c r="F162"/>
      <c r="G162" s="6" t="s">
        <v>15</v>
      </c>
      <c r="H162"/>
      <c r="I162" s="9">
        <f>C162/D162/24</f>
        <v>26.115</v>
      </c>
      <c r="J162"/>
      <c r="K162" s="2" t="s">
        <v>20</v>
      </c>
      <c r="L162" s="1" t="s">
        <v>17</v>
      </c>
      <c r="M162" s="2" t="s">
        <v>18</v>
      </c>
      <c r="N162" s="2">
        <v>7</v>
      </c>
      <c r="O162" s="2">
        <f>N162*C162</f>
        <v>1218.7</v>
      </c>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12.75">
      <c r="A163" s="1">
        <v>6</v>
      </c>
      <c r="B163" s="6" t="s">
        <v>56</v>
      </c>
      <c r="C163" s="6">
        <v>573</v>
      </c>
      <c r="D163" s="8">
        <v>0.4965277777777778</v>
      </c>
      <c r="E163" s="10">
        <v>0.4895833333333333</v>
      </c>
      <c r="F163" s="3" t="s">
        <v>57</v>
      </c>
      <c r="G163" s="6" t="s">
        <v>54</v>
      </c>
      <c r="H163" s="6"/>
      <c r="I163" s="9">
        <f>C163/D163/24</f>
        <v>48.08391608391608</v>
      </c>
      <c r="J163" s="9">
        <f>C163/E163/24</f>
        <v>48.76595744680851</v>
      </c>
      <c r="K163" s="2" t="s">
        <v>16</v>
      </c>
      <c r="L163" s="1" t="s">
        <v>17</v>
      </c>
      <c r="M163" s="2" t="s">
        <v>34</v>
      </c>
      <c r="N163" s="2">
        <v>2</v>
      </c>
      <c r="O163" s="2">
        <f>N163*C163</f>
        <v>1146</v>
      </c>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12.75">
      <c r="A164" s="1">
        <v>5</v>
      </c>
      <c r="B164" s="1" t="s">
        <v>59</v>
      </c>
      <c r="C164" s="6">
        <v>573</v>
      </c>
      <c r="D164" s="8">
        <v>0.4861111111111111</v>
      </c>
      <c r="E164" s="10">
        <v>0.4791666666666667</v>
      </c>
      <c r="F164" s="3" t="s">
        <v>57</v>
      </c>
      <c r="G164" s="6" t="s">
        <v>54</v>
      </c>
      <c r="H164" s="6"/>
      <c r="I164" s="9">
        <f>C164/D164/24</f>
        <v>49.11428571428572</v>
      </c>
      <c r="J164" s="9">
        <f>C164/E164/24</f>
        <v>49.82608695652174</v>
      </c>
      <c r="K164" s="2" t="s">
        <v>20</v>
      </c>
      <c r="L164" s="1" t="s">
        <v>17</v>
      </c>
      <c r="M164" s="2" t="s">
        <v>34</v>
      </c>
      <c r="N164" s="2">
        <v>2</v>
      </c>
      <c r="O164" s="2">
        <f>N164*C164</f>
        <v>1146</v>
      </c>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2:256" ht="12.75">
      <c r="B165" s="1" t="s">
        <v>60</v>
      </c>
      <c r="C165">
        <v>100</v>
      </c>
      <c r="D165" s="8"/>
      <c r="E165" s="10"/>
      <c r="F165" s="6"/>
      <c r="G165" s="15" t="s">
        <v>15</v>
      </c>
      <c r="H165" s="6"/>
      <c r="I165" s="9"/>
      <c r="J165" s="9"/>
      <c r="K165" s="2" t="s">
        <v>20</v>
      </c>
      <c r="L165" s="1" t="s">
        <v>17</v>
      </c>
      <c r="M165" s="2" t="s">
        <v>34</v>
      </c>
      <c r="N165" s="2">
        <v>7</v>
      </c>
      <c r="O165" s="2">
        <f>N165*C165</f>
        <v>700</v>
      </c>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2:256" ht="12.75">
      <c r="B166" s="1" t="s">
        <v>61</v>
      </c>
      <c r="C166">
        <v>100</v>
      </c>
      <c r="D166" s="8"/>
      <c r="E166" s="10"/>
      <c r="F166" s="6"/>
      <c r="G166" s="15" t="s">
        <v>15</v>
      </c>
      <c r="H166" s="6"/>
      <c r="I166" s="9"/>
      <c r="J166" s="9"/>
      <c r="K166" s="2" t="s">
        <v>16</v>
      </c>
      <c r="L166" s="1" t="s">
        <v>17</v>
      </c>
      <c r="M166" s="2" t="s">
        <v>34</v>
      </c>
      <c r="N166" s="2">
        <v>7</v>
      </c>
      <c r="O166" s="2">
        <f>N166*C166</f>
        <v>700</v>
      </c>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2:256" ht="12.75">
      <c r="B167"/>
      <c r="C167" s="6"/>
      <c r="D167" s="6"/>
      <c r="E167"/>
      <c r="F167" s="6"/>
      <c r="G167" s="6"/>
      <c r="H167" s="6"/>
      <c r="J167"/>
      <c r="L167" s="1"/>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2:256" ht="12.75">
      <c r="B168"/>
      <c r="C168"/>
      <c r="D168"/>
      <c r="E168"/>
      <c r="F168"/>
      <c r="G168"/>
      <c r="H168"/>
      <c r="I168"/>
      <c r="J168"/>
      <c r="K168"/>
      <c r="L168" s="1" t="s">
        <v>17</v>
      </c>
      <c r="M168" s="2" t="s">
        <v>18</v>
      </c>
      <c r="N168" s="2">
        <f>N162+N161</f>
        <v>14</v>
      </c>
      <c r="O168" s="2">
        <f>O162+O161</f>
        <v>2437.4</v>
      </c>
      <c r="P168" s="13">
        <f>N168/N170</f>
        <v>0.4375</v>
      </c>
      <c r="Q168" s="13">
        <f>O168/O170</f>
        <v>0.397657193199987</v>
      </c>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2:256" ht="12.75">
      <c r="B169"/>
      <c r="C169"/>
      <c r="D169" s="19"/>
      <c r="E169"/>
      <c r="F169"/>
      <c r="G169"/>
      <c r="H169"/>
      <c r="I169"/>
      <c r="J169"/>
      <c r="K169"/>
      <c r="L169" s="1" t="s">
        <v>17</v>
      </c>
      <c r="M169" s="2" t="s">
        <v>34</v>
      </c>
      <c r="N169" s="2">
        <f>SUM(N163:N166)</f>
        <v>18</v>
      </c>
      <c r="O169" s="2">
        <f>SUM(O163:O166)</f>
        <v>3692</v>
      </c>
      <c r="P169" s="13">
        <f>N169/N170</f>
        <v>0.5625</v>
      </c>
      <c r="Q169" s="13">
        <f>O169/O170</f>
        <v>0.6023428068000131</v>
      </c>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2:256" ht="12.75">
      <c r="B170"/>
      <c r="E170"/>
      <c r="J170"/>
      <c r="K170"/>
      <c r="L170" s="1" t="s">
        <v>17</v>
      </c>
      <c r="M170" t="s">
        <v>25</v>
      </c>
      <c r="N170" s="2">
        <f>N169+N168</f>
        <v>32</v>
      </c>
      <c r="O170" s="2">
        <f>O169+O168</f>
        <v>6129.4</v>
      </c>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75">
      <c r="A172" s="3">
        <v>1976</v>
      </c>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75">
      <c r="A173" s="4" t="s">
        <v>0</v>
      </c>
      <c r="B173" s="4" t="s">
        <v>1</v>
      </c>
      <c r="C173" s="4" t="s">
        <v>2</v>
      </c>
      <c r="D173" s="4" t="s">
        <v>3</v>
      </c>
      <c r="E173" s="5" t="s">
        <v>4</v>
      </c>
      <c r="F173" s="4" t="s">
        <v>5</v>
      </c>
      <c r="G173" s="4" t="s">
        <v>6</v>
      </c>
      <c r="H173" s="4" t="s">
        <v>7</v>
      </c>
      <c r="I173" s="4" t="s">
        <v>8</v>
      </c>
      <c r="J173" s="5" t="s">
        <v>4</v>
      </c>
      <c r="K173" s="4" t="s">
        <v>9</v>
      </c>
      <c r="L173" s="4" t="s">
        <v>10</v>
      </c>
      <c r="M173" s="4" t="s">
        <v>11</v>
      </c>
      <c r="N173" s="4" t="s">
        <v>12</v>
      </c>
      <c r="O173" s="4" t="s">
        <v>13</v>
      </c>
      <c r="P173" s="4" t="s">
        <v>26</v>
      </c>
      <c r="Q173" s="4" t="s">
        <v>27</v>
      </c>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2.75">
      <c r="A174" s="6">
        <v>1</v>
      </c>
      <c r="B174" s="2" t="s">
        <v>14</v>
      </c>
      <c r="C174" s="7">
        <v>174.1</v>
      </c>
      <c r="D174" s="8">
        <v>0.2604166666666667</v>
      </c>
      <c r="E174"/>
      <c r="F174" s="6"/>
      <c r="G174" s="6" t="s">
        <v>15</v>
      </c>
      <c r="H174"/>
      <c r="I174" s="9">
        <f>C174/D174/24</f>
        <v>27.855999999999998</v>
      </c>
      <c r="J174"/>
      <c r="K174" s="2" t="s">
        <v>16</v>
      </c>
      <c r="L174" s="2" t="s">
        <v>29</v>
      </c>
      <c r="M174" s="2" t="s">
        <v>18</v>
      </c>
      <c r="N174" s="2">
        <v>7</v>
      </c>
      <c r="O174" s="2">
        <f>N174*C174</f>
        <v>1218.7</v>
      </c>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75">
      <c r="A175" s="6">
        <v>2</v>
      </c>
      <c r="B175" s="2" t="s">
        <v>19</v>
      </c>
      <c r="C175" s="7">
        <v>174.1</v>
      </c>
      <c r="D175" s="10">
        <v>0.2777777777777778</v>
      </c>
      <c r="E175"/>
      <c r="F175"/>
      <c r="G175" s="6" t="s">
        <v>15</v>
      </c>
      <c r="H175"/>
      <c r="I175" s="9">
        <f>C175/D175/24</f>
        <v>26.115</v>
      </c>
      <c r="J175"/>
      <c r="K175" s="2" t="s">
        <v>20</v>
      </c>
      <c r="L175" s="2" t="s">
        <v>29</v>
      </c>
      <c r="M175" s="2" t="s">
        <v>18</v>
      </c>
      <c r="N175" s="2">
        <v>7</v>
      </c>
      <c r="O175" s="2">
        <f>N175*C175</f>
        <v>1218.7</v>
      </c>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75">
      <c r="A176">
        <v>1776</v>
      </c>
      <c r="B176" s="6" t="s">
        <v>56</v>
      </c>
      <c r="C176" s="6">
        <v>573</v>
      </c>
      <c r="D176" s="8">
        <v>0.4548611111111111</v>
      </c>
      <c r="E176" s="10">
        <v>0.4479166666666667</v>
      </c>
      <c r="F176" s="3" t="s">
        <v>57</v>
      </c>
      <c r="G176" s="6" t="s">
        <v>15</v>
      </c>
      <c r="H176" s="6"/>
      <c r="I176" s="9">
        <f>C176/D176/24</f>
        <v>52.48854961832061</v>
      </c>
      <c r="J176" s="9">
        <f>C176/E176/24</f>
        <v>53.302325581395344</v>
      </c>
      <c r="K176" s="2" t="s">
        <v>16</v>
      </c>
      <c r="L176" s="2" t="s">
        <v>29</v>
      </c>
      <c r="M176" s="2" t="s">
        <v>34</v>
      </c>
      <c r="N176" s="2">
        <v>7</v>
      </c>
      <c r="O176" s="2">
        <f>N176*C176</f>
        <v>4011</v>
      </c>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12.75">
      <c r="A177">
        <v>1775</v>
      </c>
      <c r="B177" s="1" t="s">
        <v>59</v>
      </c>
      <c r="C177" s="6">
        <v>573</v>
      </c>
      <c r="D177" s="8">
        <v>0.4618055555555556</v>
      </c>
      <c r="E177" s="10">
        <v>0.4583333333333333</v>
      </c>
      <c r="F177" s="3" t="s">
        <v>57</v>
      </c>
      <c r="G177" s="6" t="s">
        <v>15</v>
      </c>
      <c r="H177" s="6"/>
      <c r="I177" s="9">
        <f>C177/D177/24</f>
        <v>51.69924812030075</v>
      </c>
      <c r="J177" s="9">
        <f>C177/E177/24</f>
        <v>52.09090909090909</v>
      </c>
      <c r="K177" s="2" t="s">
        <v>20</v>
      </c>
      <c r="L177" s="2" t="s">
        <v>29</v>
      </c>
      <c r="M177" s="2" t="s">
        <v>34</v>
      </c>
      <c r="N177" s="2">
        <v>7</v>
      </c>
      <c r="O177" s="2">
        <f>N177*C177</f>
        <v>4011</v>
      </c>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2.75">
      <c r="A178" s="1">
        <v>1</v>
      </c>
      <c r="B178" s="1" t="s">
        <v>60</v>
      </c>
      <c r="C178">
        <v>100</v>
      </c>
      <c r="D178" s="8">
        <v>0.10416666666666667</v>
      </c>
      <c r="E178" s="10">
        <v>0.08680555555555555</v>
      </c>
      <c r="F178" s="6"/>
      <c r="G178" s="15" t="s">
        <v>15</v>
      </c>
      <c r="H178" s="6"/>
      <c r="I178" s="9">
        <f>C178/D178/24</f>
        <v>40</v>
      </c>
      <c r="J178" s="9">
        <f>C178/E178/24</f>
        <v>48</v>
      </c>
      <c r="K178" s="2" t="s">
        <v>20</v>
      </c>
      <c r="L178" s="2" t="s">
        <v>29</v>
      </c>
      <c r="M178" s="2" t="s">
        <v>34</v>
      </c>
      <c r="N178">
        <v>7</v>
      </c>
      <c r="O178" s="2">
        <f>N178*C178</f>
        <v>700</v>
      </c>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12.75">
      <c r="A179" s="1">
        <v>3</v>
      </c>
      <c r="B179" s="1" t="s">
        <v>61</v>
      </c>
      <c r="C179">
        <v>100</v>
      </c>
      <c r="D179" s="8">
        <v>0.09375</v>
      </c>
      <c r="E179" s="10">
        <v>0.08680555555555555</v>
      </c>
      <c r="F179" s="6"/>
      <c r="G179" s="15" t="s">
        <v>15</v>
      </c>
      <c r="H179" s="6"/>
      <c r="I179" s="9">
        <f>C179/D179/24</f>
        <v>44.44444444444445</v>
      </c>
      <c r="J179" s="9">
        <f>C179/E179/24</f>
        <v>48</v>
      </c>
      <c r="K179" s="2" t="s">
        <v>16</v>
      </c>
      <c r="L179" s="2" t="s">
        <v>29</v>
      </c>
      <c r="M179" s="2" t="s">
        <v>34</v>
      </c>
      <c r="N179">
        <v>7</v>
      </c>
      <c r="O179" s="2">
        <f>N179*C179</f>
        <v>700</v>
      </c>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1:256" ht="12.75">
      <c r="A180" s="1">
        <v>2</v>
      </c>
      <c r="B180" s="1" t="s">
        <v>69</v>
      </c>
      <c r="C180" s="20">
        <v>20</v>
      </c>
      <c r="D180" s="10">
        <v>0.024305555555555556</v>
      </c>
      <c r="E180"/>
      <c r="F180"/>
      <c r="G180" s="15" t="s">
        <v>15</v>
      </c>
      <c r="H180"/>
      <c r="I180" s="9">
        <f>C180/D180/24</f>
        <v>34.285714285714285</v>
      </c>
      <c r="J180"/>
      <c r="K180" s="2" t="s">
        <v>20</v>
      </c>
      <c r="L180" s="2" t="s">
        <v>29</v>
      </c>
      <c r="M180" s="2" t="s">
        <v>34</v>
      </c>
      <c r="N180">
        <v>7</v>
      </c>
      <c r="O180" s="2">
        <f>N180*C180</f>
        <v>140</v>
      </c>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12.75">
      <c r="A181" s="1">
        <v>1</v>
      </c>
      <c r="B181" s="1" t="s">
        <v>71</v>
      </c>
      <c r="C181" s="20">
        <v>20</v>
      </c>
      <c r="D181" s="10">
        <v>0.024305555555555556</v>
      </c>
      <c r="E181"/>
      <c r="F181"/>
      <c r="G181" s="15" t="s">
        <v>15</v>
      </c>
      <c r="H181"/>
      <c r="I181" s="9">
        <f>C181/D181/24</f>
        <v>34.285714285714285</v>
      </c>
      <c r="J181"/>
      <c r="K181" s="2" t="s">
        <v>16</v>
      </c>
      <c r="L181" s="2" t="s">
        <v>29</v>
      </c>
      <c r="M181" s="2" t="s">
        <v>34</v>
      </c>
      <c r="N181">
        <v>7</v>
      </c>
      <c r="O181" s="2">
        <f>N181*C181</f>
        <v>140</v>
      </c>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12.75">
      <c r="A182">
        <v>3</v>
      </c>
      <c r="B182" s="1" t="s">
        <v>69</v>
      </c>
      <c r="C182" s="20">
        <v>20</v>
      </c>
      <c r="D182" s="10">
        <v>0.024305555555555556</v>
      </c>
      <c r="E182"/>
      <c r="F182"/>
      <c r="G182" s="15" t="s">
        <v>73</v>
      </c>
      <c r="H182"/>
      <c r="I182" s="9">
        <f>C182/D182/24</f>
        <v>34.285714285714285</v>
      </c>
      <c r="J182"/>
      <c r="K182" s="2" t="s">
        <v>20</v>
      </c>
      <c r="L182" s="2" t="s">
        <v>29</v>
      </c>
      <c r="M182" s="2" t="s">
        <v>34</v>
      </c>
      <c r="N182">
        <v>5</v>
      </c>
      <c r="O182" s="2">
        <f>N182*C182</f>
        <v>100</v>
      </c>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12.75">
      <c r="A183">
        <v>2</v>
      </c>
      <c r="B183" s="1" t="s">
        <v>71</v>
      </c>
      <c r="C183" s="20">
        <v>20</v>
      </c>
      <c r="D183" s="10">
        <v>0.024305555555555556</v>
      </c>
      <c r="E183"/>
      <c r="F183"/>
      <c r="G183" s="15" t="s">
        <v>73</v>
      </c>
      <c r="H183"/>
      <c r="I183" s="9">
        <f>C183/D183/24</f>
        <v>34.285714285714285</v>
      </c>
      <c r="J183"/>
      <c r="K183" s="2" t="s">
        <v>16</v>
      </c>
      <c r="L183" s="2" t="s">
        <v>29</v>
      </c>
      <c r="M183" s="2" t="s">
        <v>34</v>
      </c>
      <c r="N183">
        <v>5</v>
      </c>
      <c r="O183" s="2">
        <f>N183*C183</f>
        <v>100</v>
      </c>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2:256" ht="12.75">
      <c r="B184"/>
      <c r="C184" s="6"/>
      <c r="D184" s="6"/>
      <c r="E184"/>
      <c r="F184" s="6"/>
      <c r="G184" s="6"/>
      <c r="H184" s="6"/>
      <c r="J184"/>
      <c r="L184" s="1"/>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2:256" ht="12.75">
      <c r="B185"/>
      <c r="C185"/>
      <c r="D185"/>
      <c r="E185"/>
      <c r="F185"/>
      <c r="G185"/>
      <c r="H185"/>
      <c r="I185"/>
      <c r="J185"/>
      <c r="K185"/>
      <c r="L185" s="2" t="s">
        <v>29</v>
      </c>
      <c r="M185" s="2" t="s">
        <v>18</v>
      </c>
      <c r="N185" s="2">
        <f>N175+N174</f>
        <v>14</v>
      </c>
      <c r="O185" s="2">
        <f>O175+O174</f>
        <v>2437.4</v>
      </c>
      <c r="P185" s="13">
        <f>N185/N187</f>
        <v>0.21212121212121213</v>
      </c>
      <c r="Q185" s="13">
        <f>O185/O187</f>
        <v>0.19752986368867206</v>
      </c>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2:256" ht="12.75">
      <c r="B186"/>
      <c r="C186"/>
      <c r="D186" s="19"/>
      <c r="E186"/>
      <c r="F186"/>
      <c r="G186"/>
      <c r="H186"/>
      <c r="I186"/>
      <c r="J186"/>
      <c r="K186"/>
      <c r="L186" s="2" t="s">
        <v>29</v>
      </c>
      <c r="M186" s="2" t="s">
        <v>34</v>
      </c>
      <c r="N186" s="2">
        <f>SUM(N176:N183)</f>
        <v>52</v>
      </c>
      <c r="O186" s="2">
        <f>SUM(O176:O183)</f>
        <v>9902</v>
      </c>
      <c r="P186" s="13">
        <f>N186/N187</f>
        <v>0.7878787878787878</v>
      </c>
      <c r="Q186" s="13">
        <f>O186/O187</f>
        <v>0.802470136311328</v>
      </c>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2:256" ht="12.75">
      <c r="B187"/>
      <c r="E187"/>
      <c r="J187"/>
      <c r="K187"/>
      <c r="L187" s="2" t="s">
        <v>29</v>
      </c>
      <c r="M187" t="s">
        <v>25</v>
      </c>
      <c r="N187" s="2">
        <f>N186+N185</f>
        <v>66</v>
      </c>
      <c r="O187" s="2">
        <f>O186+O185</f>
        <v>12339.4</v>
      </c>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12.75">
      <c r="A189" s="3" t="s">
        <v>74</v>
      </c>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12.75">
      <c r="A190" s="4" t="s">
        <v>0</v>
      </c>
      <c r="B190" s="4" t="s">
        <v>1</v>
      </c>
      <c r="C190" s="4" t="s">
        <v>2</v>
      </c>
      <c r="D190" s="4" t="s">
        <v>3</v>
      </c>
      <c r="E190" s="5" t="s">
        <v>4</v>
      </c>
      <c r="F190" s="4" t="s">
        <v>5</v>
      </c>
      <c r="G190" s="4" t="s">
        <v>6</v>
      </c>
      <c r="H190" s="4" t="s">
        <v>7</v>
      </c>
      <c r="I190" s="4" t="s">
        <v>8</v>
      </c>
      <c r="J190" s="5" t="s">
        <v>4</v>
      </c>
      <c r="K190" s="4" t="s">
        <v>9</v>
      </c>
      <c r="L190" s="4" t="s">
        <v>10</v>
      </c>
      <c r="M190" s="4" t="s">
        <v>11</v>
      </c>
      <c r="N190" s="4" t="s">
        <v>12</v>
      </c>
      <c r="O190" s="4" t="s">
        <v>13</v>
      </c>
      <c r="P190" s="4" t="s">
        <v>26</v>
      </c>
      <c r="Q190" s="4" t="s">
        <v>27</v>
      </c>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1:256" ht="12.75">
      <c r="A191" s="6">
        <v>1</v>
      </c>
      <c r="B191" s="2" t="s">
        <v>14</v>
      </c>
      <c r="C191" s="7">
        <v>174.1</v>
      </c>
      <c r="D191" s="8">
        <v>0.2604166666666667</v>
      </c>
      <c r="E191"/>
      <c r="F191" s="6"/>
      <c r="G191" s="6" t="s">
        <v>15</v>
      </c>
      <c r="H191"/>
      <c r="I191" s="9">
        <f>C191/D191/24</f>
        <v>27.855999999999998</v>
      </c>
      <c r="J191"/>
      <c r="K191" s="2" t="s">
        <v>16</v>
      </c>
      <c r="L191" s="1" t="s">
        <v>17</v>
      </c>
      <c r="M191" s="2" t="s">
        <v>18</v>
      </c>
      <c r="N191" s="2">
        <v>7</v>
      </c>
      <c r="O191" s="2">
        <f>N191*C191</f>
        <v>1218.7</v>
      </c>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row>
    <row r="192" spans="1:256" ht="12.75">
      <c r="A192" s="6">
        <v>2</v>
      </c>
      <c r="B192" s="2" t="s">
        <v>19</v>
      </c>
      <c r="C192" s="7">
        <v>174.1</v>
      </c>
      <c r="D192" s="10">
        <v>0.2777777777777778</v>
      </c>
      <c r="E192"/>
      <c r="F192"/>
      <c r="G192" s="6" t="s">
        <v>15</v>
      </c>
      <c r="H192"/>
      <c r="I192" s="9">
        <f>C192/D192/24</f>
        <v>26.115</v>
      </c>
      <c r="J192"/>
      <c r="K192" s="2" t="s">
        <v>20</v>
      </c>
      <c r="L192" s="1" t="s">
        <v>17</v>
      </c>
      <c r="M192" s="2" t="s">
        <v>18</v>
      </c>
      <c r="N192" s="2">
        <v>7</v>
      </c>
      <c r="O192" s="2">
        <f>N192*C192</f>
        <v>1218.7</v>
      </c>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12.75">
      <c r="A193" s="1">
        <v>6</v>
      </c>
      <c r="B193" s="6" t="s">
        <v>56</v>
      </c>
      <c r="C193" s="6">
        <v>573</v>
      </c>
      <c r="D193" s="8">
        <v>0.4965277777777778</v>
      </c>
      <c r="E193" s="10">
        <v>0.4895833333333333</v>
      </c>
      <c r="F193" s="3" t="s">
        <v>57</v>
      </c>
      <c r="G193" s="6" t="s">
        <v>54</v>
      </c>
      <c r="H193" s="6"/>
      <c r="I193" s="9">
        <f>C193/D193/24</f>
        <v>48.08391608391608</v>
      </c>
      <c r="J193" s="9">
        <f>C193/E193/24</f>
        <v>48.76595744680851</v>
      </c>
      <c r="K193" s="2" t="s">
        <v>16</v>
      </c>
      <c r="L193" s="1" t="s">
        <v>17</v>
      </c>
      <c r="M193" s="2" t="s">
        <v>34</v>
      </c>
      <c r="N193" s="2">
        <v>2</v>
      </c>
      <c r="O193" s="2">
        <f>N193*C193</f>
        <v>1146</v>
      </c>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12.75">
      <c r="A194" s="1">
        <v>5</v>
      </c>
      <c r="B194" s="1" t="s">
        <v>59</v>
      </c>
      <c r="C194" s="6">
        <v>573</v>
      </c>
      <c r="D194" s="8">
        <v>0.4861111111111111</v>
      </c>
      <c r="E194" s="10">
        <v>0.4791666666666667</v>
      </c>
      <c r="F194" s="3" t="s">
        <v>57</v>
      </c>
      <c r="G194" s="6" t="s">
        <v>54</v>
      </c>
      <c r="H194" s="6"/>
      <c r="I194" s="9">
        <f>C194/D194/24</f>
        <v>49.11428571428572</v>
      </c>
      <c r="J194" s="9">
        <f>C194/E194/24</f>
        <v>49.82608695652174</v>
      </c>
      <c r="K194" s="2" t="s">
        <v>20</v>
      </c>
      <c r="L194" s="1" t="s">
        <v>17</v>
      </c>
      <c r="M194" s="2" t="s">
        <v>34</v>
      </c>
      <c r="N194" s="2">
        <v>2</v>
      </c>
      <c r="O194" s="2">
        <f>N194*C194</f>
        <v>1146</v>
      </c>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12.75">
      <c r="A195"/>
      <c r="B195" s="1" t="s">
        <v>60</v>
      </c>
      <c r="C195">
        <v>100</v>
      </c>
      <c r="D195" s="8"/>
      <c r="E195" s="10"/>
      <c r="F195" s="6"/>
      <c r="G195" s="15" t="s">
        <v>15</v>
      </c>
      <c r="H195" s="6"/>
      <c r="I195" s="9"/>
      <c r="J195" s="9"/>
      <c r="K195" s="2" t="s">
        <v>20</v>
      </c>
      <c r="L195" s="1" t="s">
        <v>17</v>
      </c>
      <c r="M195" s="2" t="s">
        <v>34</v>
      </c>
      <c r="N195" s="2">
        <v>7</v>
      </c>
      <c r="O195" s="2">
        <f>N195*C195</f>
        <v>700</v>
      </c>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12.75">
      <c r="A196"/>
      <c r="B196" s="1" t="s">
        <v>61</v>
      </c>
      <c r="C196">
        <v>100</v>
      </c>
      <c r="D196" s="8"/>
      <c r="E196" s="10"/>
      <c r="F196" s="6"/>
      <c r="G196" s="15" t="s">
        <v>15</v>
      </c>
      <c r="H196" s="6"/>
      <c r="I196" s="9"/>
      <c r="J196" s="9"/>
      <c r="K196" s="2" t="s">
        <v>16</v>
      </c>
      <c r="L196" s="1" t="s">
        <v>17</v>
      </c>
      <c r="M196" s="2" t="s">
        <v>34</v>
      </c>
      <c r="N196" s="2">
        <v>7</v>
      </c>
      <c r="O196" s="2">
        <f>N196*C196</f>
        <v>700</v>
      </c>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2:256" ht="12.75">
      <c r="B197"/>
      <c r="C197" s="6"/>
      <c r="D197" s="6"/>
      <c r="E197"/>
      <c r="F197" s="6"/>
      <c r="G197" s="6"/>
      <c r="H197" s="6"/>
      <c r="J197"/>
      <c r="L197" s="1"/>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2:256" ht="12.75">
      <c r="B198"/>
      <c r="C198"/>
      <c r="D198"/>
      <c r="E198"/>
      <c r="F198"/>
      <c r="G198"/>
      <c r="H198"/>
      <c r="I198"/>
      <c r="J198"/>
      <c r="K198"/>
      <c r="L198" s="1" t="s">
        <v>17</v>
      </c>
      <c r="M198" s="2" t="s">
        <v>18</v>
      </c>
      <c r="N198" s="2">
        <f>N192+N191</f>
        <v>14</v>
      </c>
      <c r="O198" s="2">
        <f>O192+O191</f>
        <v>2437.4</v>
      </c>
      <c r="P198" s="13">
        <f>N198/N200</f>
        <v>0.4375</v>
      </c>
      <c r="Q198" s="13">
        <f>O198/O200</f>
        <v>0.397657193199987</v>
      </c>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2:256" ht="12.75">
      <c r="B199"/>
      <c r="C199"/>
      <c r="D199" s="19"/>
      <c r="E199"/>
      <c r="F199"/>
      <c r="G199"/>
      <c r="H199"/>
      <c r="I199"/>
      <c r="J199"/>
      <c r="K199"/>
      <c r="L199" s="1" t="s">
        <v>17</v>
      </c>
      <c r="M199" s="2" t="s">
        <v>34</v>
      </c>
      <c r="N199" s="2">
        <f>SUM(N193:N196)</f>
        <v>18</v>
      </c>
      <c r="O199" s="2">
        <f>SUM(O193:O196)</f>
        <v>3692</v>
      </c>
      <c r="P199" s="13">
        <f>N199/N200</f>
        <v>0.5625</v>
      </c>
      <c r="Q199" s="13">
        <f>O199/O200</f>
        <v>0.6023428068000131</v>
      </c>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2:256" ht="12.75">
      <c r="B200"/>
      <c r="E200"/>
      <c r="J200"/>
      <c r="K200"/>
      <c r="L200" s="1" t="s">
        <v>17</v>
      </c>
      <c r="M200" t="s">
        <v>25</v>
      </c>
      <c r="N200" s="2">
        <f>N199+N198</f>
        <v>32</v>
      </c>
      <c r="O200" s="2">
        <f>O199+O198</f>
        <v>6129.4</v>
      </c>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1:256"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row>
    <row r="202" spans="1:256" ht="12.75">
      <c r="A202" s="3">
        <v>1978</v>
      </c>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12.75">
      <c r="A203" s="4" t="s">
        <v>0</v>
      </c>
      <c r="B203" s="4" t="s">
        <v>1</v>
      </c>
      <c r="C203" s="4" t="s">
        <v>2</v>
      </c>
      <c r="D203" s="4" t="s">
        <v>3</v>
      </c>
      <c r="E203" s="5" t="s">
        <v>4</v>
      </c>
      <c r="F203" s="4" t="s">
        <v>5</v>
      </c>
      <c r="G203" s="4" t="s">
        <v>6</v>
      </c>
      <c r="H203" s="4" t="s">
        <v>7</v>
      </c>
      <c r="I203" s="4" t="s">
        <v>8</v>
      </c>
      <c r="J203" s="5" t="s">
        <v>4</v>
      </c>
      <c r="K203" s="4" t="s">
        <v>9</v>
      </c>
      <c r="L203" s="4" t="s">
        <v>10</v>
      </c>
      <c r="M203" s="4" t="s">
        <v>11</v>
      </c>
      <c r="N203" s="4" t="s">
        <v>12</v>
      </c>
      <c r="O203" s="4" t="s">
        <v>13</v>
      </c>
      <c r="P203" s="4" t="s">
        <v>26</v>
      </c>
      <c r="Q203" s="4" t="s">
        <v>27</v>
      </c>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12.75">
      <c r="A204" s="6">
        <v>1</v>
      </c>
      <c r="B204" s="2" t="s">
        <v>14</v>
      </c>
      <c r="C204" s="7">
        <v>174.1</v>
      </c>
      <c r="D204" s="8">
        <v>0.2604166666666667</v>
      </c>
      <c r="E204"/>
      <c r="F204" s="6"/>
      <c r="G204" s="6" t="s">
        <v>15</v>
      </c>
      <c r="H204"/>
      <c r="I204" s="9">
        <f>C204/D204/24</f>
        <v>27.855999999999998</v>
      </c>
      <c r="J204"/>
      <c r="K204" s="2" t="s">
        <v>16</v>
      </c>
      <c r="L204" s="2" t="s">
        <v>29</v>
      </c>
      <c r="M204" s="2" t="s">
        <v>18</v>
      </c>
      <c r="N204" s="2">
        <v>7</v>
      </c>
      <c r="O204" s="2">
        <f>N204*C204</f>
        <v>1218.7</v>
      </c>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12.75">
      <c r="A205" s="6">
        <v>2</v>
      </c>
      <c r="B205" s="2" t="s">
        <v>19</v>
      </c>
      <c r="C205" s="7">
        <v>174.1</v>
      </c>
      <c r="D205" s="10">
        <v>0.2777777777777778</v>
      </c>
      <c r="E205"/>
      <c r="F205"/>
      <c r="G205" s="6" t="s">
        <v>15</v>
      </c>
      <c r="H205"/>
      <c r="I205" s="9">
        <f>C205/D205/24</f>
        <v>26.115</v>
      </c>
      <c r="J205"/>
      <c r="K205" s="2" t="s">
        <v>20</v>
      </c>
      <c r="L205" s="2" t="s">
        <v>29</v>
      </c>
      <c r="M205" s="2" t="s">
        <v>18</v>
      </c>
      <c r="N205" s="2">
        <v>7</v>
      </c>
      <c r="O205" s="2">
        <f>N205*C205</f>
        <v>1218.7</v>
      </c>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12.75">
      <c r="A206">
        <v>6</v>
      </c>
      <c r="B206" s="6" t="s">
        <v>56</v>
      </c>
      <c r="C206" s="6">
        <v>573</v>
      </c>
      <c r="D206" s="8">
        <v>0.4375</v>
      </c>
      <c r="E206" s="10">
        <v>0.4354166666666667</v>
      </c>
      <c r="F206" s="3" t="s">
        <v>57</v>
      </c>
      <c r="G206" s="6" t="s">
        <v>15</v>
      </c>
      <c r="H206" s="6"/>
      <c r="I206" s="9">
        <f>C206/D206/24</f>
        <v>54.57142857142858</v>
      </c>
      <c r="J206" s="9">
        <f>C206/E206/24</f>
        <v>54.83253588516746</v>
      </c>
      <c r="K206" s="2" t="s">
        <v>16</v>
      </c>
      <c r="L206" s="2" t="s">
        <v>29</v>
      </c>
      <c r="M206" s="2" t="s">
        <v>34</v>
      </c>
      <c r="N206" s="2">
        <v>7</v>
      </c>
      <c r="O206" s="2">
        <f>N206*C206</f>
        <v>4011</v>
      </c>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12.75">
      <c r="A207">
        <v>5</v>
      </c>
      <c r="B207" s="1" t="s">
        <v>59</v>
      </c>
      <c r="C207" s="6">
        <v>573</v>
      </c>
      <c r="D207" s="8">
        <v>0.4375</v>
      </c>
      <c r="E207" s="10">
        <v>0.43680555555555556</v>
      </c>
      <c r="F207" s="3" t="s">
        <v>57</v>
      </c>
      <c r="G207" s="6" t="s">
        <v>15</v>
      </c>
      <c r="H207" s="6"/>
      <c r="I207" s="9">
        <f>C207/D207/24</f>
        <v>54.57142857142858</v>
      </c>
      <c r="J207" s="9">
        <f>C207/E207/24</f>
        <v>54.65818759936408</v>
      </c>
      <c r="K207" s="2" t="s">
        <v>20</v>
      </c>
      <c r="L207" s="2" t="s">
        <v>29</v>
      </c>
      <c r="M207" s="2" t="s">
        <v>34</v>
      </c>
      <c r="N207" s="2">
        <v>7</v>
      </c>
      <c r="O207" s="2">
        <f>N207*C207</f>
        <v>4011</v>
      </c>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12.75">
      <c r="A208" s="1">
        <v>1</v>
      </c>
      <c r="B208" s="1" t="s">
        <v>60</v>
      </c>
      <c r="C208">
        <v>100</v>
      </c>
      <c r="D208" s="8">
        <v>0.12152777777777778</v>
      </c>
      <c r="E208" s="10">
        <v>0.08680555555555555</v>
      </c>
      <c r="F208" s="6"/>
      <c r="G208" s="15" t="s">
        <v>15</v>
      </c>
      <c r="H208" s="6"/>
      <c r="I208" s="9">
        <f>C208/D208/24</f>
        <v>34.285714285714285</v>
      </c>
      <c r="J208" s="9">
        <f>C208/E208/24</f>
        <v>48</v>
      </c>
      <c r="K208" s="2" t="s">
        <v>20</v>
      </c>
      <c r="L208" s="2" t="s">
        <v>29</v>
      </c>
      <c r="M208" s="2" t="s">
        <v>34</v>
      </c>
      <c r="N208">
        <v>7</v>
      </c>
      <c r="O208" s="2">
        <f>N208*C208</f>
        <v>700</v>
      </c>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12.75">
      <c r="A209" s="1">
        <v>3</v>
      </c>
      <c r="B209" s="1" t="s">
        <v>61</v>
      </c>
      <c r="C209">
        <v>100</v>
      </c>
      <c r="D209" s="8">
        <v>0.09375</v>
      </c>
      <c r="E209" s="10">
        <v>0.08680555555555555</v>
      </c>
      <c r="F209" s="6"/>
      <c r="G209" s="15" t="s">
        <v>15</v>
      </c>
      <c r="H209" s="6"/>
      <c r="I209" s="9">
        <f>C209/D209/24</f>
        <v>44.44444444444445</v>
      </c>
      <c r="J209" s="9">
        <f>C209/E209/24</f>
        <v>48</v>
      </c>
      <c r="K209" s="2" t="s">
        <v>16</v>
      </c>
      <c r="L209" s="2" t="s">
        <v>29</v>
      </c>
      <c r="M209" s="2" t="s">
        <v>34</v>
      </c>
      <c r="N209">
        <v>7</v>
      </c>
      <c r="O209" s="2">
        <f>N209*C209</f>
        <v>700</v>
      </c>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12.75">
      <c r="A210" s="1">
        <v>2</v>
      </c>
      <c r="B210" s="1" t="s">
        <v>69</v>
      </c>
      <c r="C210" s="20">
        <v>20</v>
      </c>
      <c r="D210" s="10">
        <v>0.024305555555555556</v>
      </c>
      <c r="E210"/>
      <c r="F210"/>
      <c r="G210" s="15" t="s">
        <v>15</v>
      </c>
      <c r="H210"/>
      <c r="I210" s="9">
        <f>C210/D210/24</f>
        <v>34.285714285714285</v>
      </c>
      <c r="J210"/>
      <c r="K210" s="2" t="s">
        <v>20</v>
      </c>
      <c r="L210" s="2" t="s">
        <v>29</v>
      </c>
      <c r="M210" s="2" t="s">
        <v>34</v>
      </c>
      <c r="N210">
        <v>7</v>
      </c>
      <c r="O210" s="2">
        <f>N210*C210</f>
        <v>140</v>
      </c>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12.75">
      <c r="A211" s="1">
        <v>1</v>
      </c>
      <c r="B211" s="1" t="s">
        <v>71</v>
      </c>
      <c r="C211" s="20">
        <v>20</v>
      </c>
      <c r="D211" s="10">
        <v>0.024305555555555556</v>
      </c>
      <c r="E211"/>
      <c r="F211"/>
      <c r="G211" s="15" t="s">
        <v>15</v>
      </c>
      <c r="H211"/>
      <c r="I211" s="9">
        <f>C211/D211/24</f>
        <v>34.285714285714285</v>
      </c>
      <c r="J211"/>
      <c r="K211" s="2" t="s">
        <v>16</v>
      </c>
      <c r="L211" s="2" t="s">
        <v>29</v>
      </c>
      <c r="M211" s="2" t="s">
        <v>34</v>
      </c>
      <c r="N211">
        <v>7</v>
      </c>
      <c r="O211" s="2">
        <f>N211*C211</f>
        <v>140</v>
      </c>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12.75">
      <c r="A212">
        <v>3</v>
      </c>
      <c r="B212" s="1" t="s">
        <v>69</v>
      </c>
      <c r="C212" s="20">
        <v>20</v>
      </c>
      <c r="D212" s="10">
        <v>0.024305555555555556</v>
      </c>
      <c r="E212"/>
      <c r="F212"/>
      <c r="G212" s="15" t="s">
        <v>73</v>
      </c>
      <c r="H212"/>
      <c r="I212" s="9">
        <f>C212/D212/24</f>
        <v>34.285714285714285</v>
      </c>
      <c r="J212"/>
      <c r="K212" s="2" t="s">
        <v>20</v>
      </c>
      <c r="L212" s="2" t="s">
        <v>29</v>
      </c>
      <c r="M212" s="2" t="s">
        <v>34</v>
      </c>
      <c r="N212">
        <v>5</v>
      </c>
      <c r="O212" s="2">
        <f>N212*C212</f>
        <v>100</v>
      </c>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12.75">
      <c r="A213">
        <v>2</v>
      </c>
      <c r="B213" s="1" t="s">
        <v>71</v>
      </c>
      <c r="C213" s="20">
        <v>20</v>
      </c>
      <c r="D213" s="10">
        <v>0.024305555555555556</v>
      </c>
      <c r="E213"/>
      <c r="F213"/>
      <c r="G213" s="15" t="s">
        <v>73</v>
      </c>
      <c r="H213"/>
      <c r="I213" s="9">
        <f>C213/D213/24</f>
        <v>34.285714285714285</v>
      </c>
      <c r="J213"/>
      <c r="K213" s="2" t="s">
        <v>16</v>
      </c>
      <c r="L213" s="2" t="s">
        <v>29</v>
      </c>
      <c r="M213" s="2" t="s">
        <v>34</v>
      </c>
      <c r="N213">
        <v>5</v>
      </c>
      <c r="O213" s="2">
        <f>N213*C213</f>
        <v>100</v>
      </c>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2:256" ht="12.75">
      <c r="B214"/>
      <c r="C214" s="6"/>
      <c r="D214" s="6"/>
      <c r="E214"/>
      <c r="F214" s="6"/>
      <c r="G214" s="6"/>
      <c r="H214" s="6"/>
      <c r="J214"/>
      <c r="L214" s="1"/>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2:256" ht="12.75">
      <c r="B215"/>
      <c r="C215"/>
      <c r="D215"/>
      <c r="E215"/>
      <c r="F215"/>
      <c r="G215"/>
      <c r="H215"/>
      <c r="I215"/>
      <c r="J215"/>
      <c r="K215"/>
      <c r="L215" s="2" t="s">
        <v>29</v>
      </c>
      <c r="M215" s="2" t="s">
        <v>18</v>
      </c>
      <c r="N215" s="2">
        <f>N205+N204</f>
        <v>14</v>
      </c>
      <c r="O215" s="2">
        <f>O205+O204</f>
        <v>2437.4</v>
      </c>
      <c r="P215" s="13">
        <f>N215/N217</f>
        <v>0.21212121212121213</v>
      </c>
      <c r="Q215" s="13">
        <f>O215/O217</f>
        <v>0.19752986368867206</v>
      </c>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2:256" ht="12.75">
      <c r="B216"/>
      <c r="C216"/>
      <c r="D216" s="19"/>
      <c r="E216"/>
      <c r="F216"/>
      <c r="G216"/>
      <c r="H216"/>
      <c r="I216"/>
      <c r="J216"/>
      <c r="K216"/>
      <c r="L216" s="2" t="s">
        <v>29</v>
      </c>
      <c r="M216" s="2" t="s">
        <v>34</v>
      </c>
      <c r="N216" s="2">
        <f>SUM(N206:N213)</f>
        <v>52</v>
      </c>
      <c r="O216" s="2">
        <f>SUM(O206:O213)</f>
        <v>9902</v>
      </c>
      <c r="P216" s="13">
        <f>N216/N217</f>
        <v>0.7878787878787878</v>
      </c>
      <c r="Q216" s="13">
        <f>O216/O217</f>
        <v>0.802470136311328</v>
      </c>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2:256" ht="12.75">
      <c r="B217"/>
      <c r="E217"/>
      <c r="J217"/>
      <c r="K217"/>
      <c r="L217" s="2" t="s">
        <v>29</v>
      </c>
      <c r="M217" t="s">
        <v>25</v>
      </c>
      <c r="N217" s="2">
        <f>N216+N215</f>
        <v>66</v>
      </c>
      <c r="O217" s="2">
        <f>O216+O215</f>
        <v>12339.4</v>
      </c>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2.75">
      <c r="A219" s="3" t="s">
        <v>75</v>
      </c>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2.75">
      <c r="A220" s="4" t="s">
        <v>0</v>
      </c>
      <c r="B220" s="4" t="s">
        <v>1</v>
      </c>
      <c r="C220" s="4" t="s">
        <v>2</v>
      </c>
      <c r="D220" s="4" t="s">
        <v>3</v>
      </c>
      <c r="E220" s="5" t="s">
        <v>4</v>
      </c>
      <c r="F220" s="4" t="s">
        <v>5</v>
      </c>
      <c r="G220" s="4" t="s">
        <v>6</v>
      </c>
      <c r="H220" s="4" t="s">
        <v>7</v>
      </c>
      <c r="I220" s="4" t="s">
        <v>8</v>
      </c>
      <c r="J220" s="5" t="s">
        <v>4</v>
      </c>
      <c r="K220" s="4" t="s">
        <v>9</v>
      </c>
      <c r="L220" s="4" t="s">
        <v>10</v>
      </c>
      <c r="M220" s="4" t="s">
        <v>11</v>
      </c>
      <c r="N220" s="4" t="s">
        <v>12</v>
      </c>
      <c r="O220" s="4" t="s">
        <v>13</v>
      </c>
      <c r="P220" s="4" t="s">
        <v>26</v>
      </c>
      <c r="Q220" s="4" t="s">
        <v>27</v>
      </c>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2.75">
      <c r="A221" s="6">
        <v>1</v>
      </c>
      <c r="B221" s="2" t="s">
        <v>14</v>
      </c>
      <c r="C221" s="7">
        <v>174.1</v>
      </c>
      <c r="D221" s="8">
        <v>0.2604166666666667</v>
      </c>
      <c r="E221"/>
      <c r="F221" s="6"/>
      <c r="G221" s="6" t="s">
        <v>15</v>
      </c>
      <c r="H221"/>
      <c r="I221" s="9">
        <f>C221/D221/24</f>
        <v>27.855999999999998</v>
      </c>
      <c r="J221"/>
      <c r="K221" s="2" t="s">
        <v>16</v>
      </c>
      <c r="L221" s="1" t="s">
        <v>17</v>
      </c>
      <c r="M221" s="2" t="s">
        <v>18</v>
      </c>
      <c r="N221" s="2">
        <v>7</v>
      </c>
      <c r="O221" s="2">
        <f>N221*C221</f>
        <v>1218.7</v>
      </c>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2.75">
      <c r="A222" s="6">
        <v>2</v>
      </c>
      <c r="B222" s="2" t="s">
        <v>19</v>
      </c>
      <c r="C222" s="7">
        <v>174.1</v>
      </c>
      <c r="D222" s="10">
        <v>0.2777777777777778</v>
      </c>
      <c r="E222"/>
      <c r="F222"/>
      <c r="G222" s="6" t="s">
        <v>15</v>
      </c>
      <c r="H222"/>
      <c r="I222" s="9">
        <f>C222/D222/24</f>
        <v>26.115</v>
      </c>
      <c r="J222"/>
      <c r="K222" s="2" t="s">
        <v>20</v>
      </c>
      <c r="L222" s="1" t="s">
        <v>17</v>
      </c>
      <c r="M222" s="2" t="s">
        <v>18</v>
      </c>
      <c r="N222" s="2">
        <v>7</v>
      </c>
      <c r="O222" s="2">
        <f>N222*C222</f>
        <v>1218.7</v>
      </c>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2.75">
      <c r="A223" s="1">
        <v>6</v>
      </c>
      <c r="B223" s="6" t="s">
        <v>56</v>
      </c>
      <c r="C223" s="6">
        <v>573</v>
      </c>
      <c r="D223" s="8">
        <v>0.4965277777777778</v>
      </c>
      <c r="E223" s="10">
        <v>0.4895833333333333</v>
      </c>
      <c r="F223" s="3" t="s">
        <v>57</v>
      </c>
      <c r="G223" s="6" t="s">
        <v>54</v>
      </c>
      <c r="H223" s="6"/>
      <c r="I223" s="9">
        <f>C223/D223/24</f>
        <v>48.08391608391608</v>
      </c>
      <c r="J223" s="9">
        <f>C223/E223/24</f>
        <v>48.76595744680851</v>
      </c>
      <c r="K223" s="2" t="s">
        <v>16</v>
      </c>
      <c r="L223" s="1" t="s">
        <v>17</v>
      </c>
      <c r="M223" s="2" t="s">
        <v>34</v>
      </c>
      <c r="N223" s="2">
        <v>1</v>
      </c>
      <c r="O223" s="2">
        <f>N223*C223</f>
        <v>573</v>
      </c>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2.75">
      <c r="A224" s="1">
        <v>5</v>
      </c>
      <c r="B224" s="1" t="s">
        <v>59</v>
      </c>
      <c r="C224" s="6">
        <v>573</v>
      </c>
      <c r="D224" s="8">
        <v>0.4861111111111111</v>
      </c>
      <c r="E224" s="10">
        <v>0.4791666666666667</v>
      </c>
      <c r="F224" s="3" t="s">
        <v>57</v>
      </c>
      <c r="G224" s="6" t="s">
        <v>54</v>
      </c>
      <c r="H224" s="6"/>
      <c r="I224" s="9">
        <f>C224/D224/24</f>
        <v>49.11428571428572</v>
      </c>
      <c r="J224" s="9">
        <f>C224/E224/24</f>
        <v>49.82608695652174</v>
      </c>
      <c r="K224" s="2" t="s">
        <v>20</v>
      </c>
      <c r="L224" s="1" t="s">
        <v>17</v>
      </c>
      <c r="M224" s="2" t="s">
        <v>34</v>
      </c>
      <c r="N224" s="2">
        <v>1</v>
      </c>
      <c r="O224" s="2">
        <f>N224*C224</f>
        <v>573</v>
      </c>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2.75">
      <c r="A225" s="1">
        <v>8</v>
      </c>
      <c r="B225" s="6" t="s">
        <v>56</v>
      </c>
      <c r="C225" s="6">
        <v>573</v>
      </c>
      <c r="D225" s="8">
        <v>0.4965277777777778</v>
      </c>
      <c r="E225" s="10">
        <v>0.4895833333333333</v>
      </c>
      <c r="F225" s="3" t="s">
        <v>57</v>
      </c>
      <c r="G225" s="6" t="s">
        <v>54</v>
      </c>
      <c r="H225" s="6"/>
      <c r="I225" s="9">
        <f>C225/D225/24</f>
        <v>48.08391608391608</v>
      </c>
      <c r="J225" s="9">
        <f>C225/E225/24</f>
        <v>48.76595744680851</v>
      </c>
      <c r="K225" s="2" t="s">
        <v>16</v>
      </c>
      <c r="L225" s="1" t="s">
        <v>17</v>
      </c>
      <c r="M225" s="2" t="s">
        <v>34</v>
      </c>
      <c r="N225" s="2">
        <v>1</v>
      </c>
      <c r="O225" s="2">
        <f>N225*C225</f>
        <v>573</v>
      </c>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2.75">
      <c r="A226" s="1">
        <v>7</v>
      </c>
      <c r="B226" s="1" t="s">
        <v>59</v>
      </c>
      <c r="C226" s="6">
        <v>573</v>
      </c>
      <c r="D226" s="8">
        <v>0.4861111111111111</v>
      </c>
      <c r="E226" s="10">
        <v>0.4791666666666667</v>
      </c>
      <c r="F226" s="3" t="s">
        <v>57</v>
      </c>
      <c r="G226" s="6" t="s">
        <v>54</v>
      </c>
      <c r="H226" s="6"/>
      <c r="I226" s="9">
        <f>C226/D226/24</f>
        <v>49.11428571428572</v>
      </c>
      <c r="J226" s="9">
        <f>C226/E226/24</f>
        <v>49.82608695652174</v>
      </c>
      <c r="K226" s="2" t="s">
        <v>20</v>
      </c>
      <c r="L226" s="1" t="s">
        <v>17</v>
      </c>
      <c r="M226" s="2" t="s">
        <v>34</v>
      </c>
      <c r="N226" s="2">
        <v>1</v>
      </c>
      <c r="O226" s="2">
        <f>N226*C226</f>
        <v>573</v>
      </c>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2.75">
      <c r="A227"/>
      <c r="B227" s="1" t="s">
        <v>60</v>
      </c>
      <c r="C227">
        <v>100</v>
      </c>
      <c r="D227" s="8"/>
      <c r="E227" s="10"/>
      <c r="F227" s="6"/>
      <c r="G227" s="15" t="s">
        <v>15</v>
      </c>
      <c r="H227" s="6"/>
      <c r="I227" s="9"/>
      <c r="J227" s="9"/>
      <c r="K227" s="2" t="s">
        <v>20</v>
      </c>
      <c r="L227" s="1" t="s">
        <v>17</v>
      </c>
      <c r="M227" s="2" t="s">
        <v>34</v>
      </c>
      <c r="N227" s="2">
        <v>7</v>
      </c>
      <c r="O227" s="2">
        <f>N227*C227</f>
        <v>700</v>
      </c>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2.75">
      <c r="A228"/>
      <c r="B228" s="1" t="s">
        <v>61</v>
      </c>
      <c r="C228">
        <v>100</v>
      </c>
      <c r="D228" s="8"/>
      <c r="E228" s="10"/>
      <c r="F228" s="6"/>
      <c r="G228" s="15" t="s">
        <v>15</v>
      </c>
      <c r="H228" s="6"/>
      <c r="I228" s="9"/>
      <c r="J228" s="9"/>
      <c r="K228" s="2" t="s">
        <v>16</v>
      </c>
      <c r="L228" s="1" t="s">
        <v>17</v>
      </c>
      <c r="M228" s="2" t="s">
        <v>34</v>
      </c>
      <c r="N228" s="2">
        <v>7</v>
      </c>
      <c r="O228" s="2">
        <f>N228*C228</f>
        <v>700</v>
      </c>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2:256" ht="12.75">
      <c r="B229"/>
      <c r="C229" s="6"/>
      <c r="D229" s="6"/>
      <c r="E229"/>
      <c r="F229" s="6"/>
      <c r="G229" s="6"/>
      <c r="H229" s="6"/>
      <c r="J229"/>
      <c r="L229" s="1"/>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2:256" ht="12.75">
      <c r="B230"/>
      <c r="C230"/>
      <c r="D230"/>
      <c r="E230"/>
      <c r="F230"/>
      <c r="G230"/>
      <c r="H230"/>
      <c r="I230"/>
      <c r="J230"/>
      <c r="K230"/>
      <c r="L230" s="1" t="s">
        <v>17</v>
      </c>
      <c r="M230" s="2" t="s">
        <v>18</v>
      </c>
      <c r="N230" s="2">
        <f>N222+N221</f>
        <v>14</v>
      </c>
      <c r="O230" s="2">
        <f>O222+O221</f>
        <v>2437.4</v>
      </c>
      <c r="P230" s="13">
        <f>N230/N232</f>
        <v>0.4375</v>
      </c>
      <c r="Q230" s="13">
        <f>O230/O232</f>
        <v>0.397657193199987</v>
      </c>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2:256" ht="12.75">
      <c r="B231"/>
      <c r="C231"/>
      <c r="D231" s="19"/>
      <c r="E231"/>
      <c r="F231"/>
      <c r="G231"/>
      <c r="H231"/>
      <c r="I231"/>
      <c r="J231"/>
      <c r="K231"/>
      <c r="L231" s="1" t="s">
        <v>17</v>
      </c>
      <c r="M231" s="2" t="s">
        <v>34</v>
      </c>
      <c r="N231" s="2">
        <f>SUM(N223:N228)</f>
        <v>18</v>
      </c>
      <c r="O231" s="2">
        <f>SUM(O223:O228)</f>
        <v>3692</v>
      </c>
      <c r="P231" s="13">
        <f>N231/N232</f>
        <v>0.5625</v>
      </c>
      <c r="Q231" s="13">
        <f>O231/O232</f>
        <v>0.6023428068000131</v>
      </c>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2:256" ht="12.75">
      <c r="B232"/>
      <c r="E232"/>
      <c r="J232"/>
      <c r="K232"/>
      <c r="L232" s="1" t="s">
        <v>17</v>
      </c>
      <c r="M232" t="s">
        <v>25</v>
      </c>
      <c r="N232" s="2">
        <f>N231+N230</f>
        <v>32</v>
      </c>
      <c r="O232" s="2">
        <f>O231+O230</f>
        <v>6129.4</v>
      </c>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2.75">
      <c r="A234" s="3">
        <v>1979</v>
      </c>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2.75">
      <c r="A235" s="4" t="s">
        <v>0</v>
      </c>
      <c r="B235" s="4" t="s">
        <v>1</v>
      </c>
      <c r="C235" s="4" t="s">
        <v>2</v>
      </c>
      <c r="D235" s="4" t="s">
        <v>3</v>
      </c>
      <c r="E235" s="5" t="s">
        <v>4</v>
      </c>
      <c r="F235" s="4" t="s">
        <v>5</v>
      </c>
      <c r="G235" s="4" t="s">
        <v>6</v>
      </c>
      <c r="H235" s="4" t="s">
        <v>7</v>
      </c>
      <c r="I235" s="4" t="s">
        <v>8</v>
      </c>
      <c r="J235" s="5" t="s">
        <v>4</v>
      </c>
      <c r="K235" s="4" t="s">
        <v>9</v>
      </c>
      <c r="L235" s="4" t="s">
        <v>10</v>
      </c>
      <c r="M235" s="4" t="s">
        <v>11</v>
      </c>
      <c r="N235" s="4" t="s">
        <v>12</v>
      </c>
      <c r="O235" s="4" t="s">
        <v>13</v>
      </c>
      <c r="P235" s="4" t="s">
        <v>26</v>
      </c>
      <c r="Q235" s="4" t="s">
        <v>27</v>
      </c>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2.75">
      <c r="A236" s="6">
        <v>1</v>
      </c>
      <c r="B236" s="2" t="s">
        <v>14</v>
      </c>
      <c r="C236" s="7">
        <v>174.1</v>
      </c>
      <c r="D236" s="8">
        <v>0.2604166666666667</v>
      </c>
      <c r="E236"/>
      <c r="F236" s="6"/>
      <c r="G236" s="6" t="s">
        <v>15</v>
      </c>
      <c r="H236"/>
      <c r="I236" s="9">
        <f>C236/D236/24</f>
        <v>27.855999999999998</v>
      </c>
      <c r="J236"/>
      <c r="K236" s="2" t="s">
        <v>16</v>
      </c>
      <c r="L236" s="2" t="s">
        <v>29</v>
      </c>
      <c r="M236" s="2" t="s">
        <v>18</v>
      </c>
      <c r="N236" s="2">
        <v>7</v>
      </c>
      <c r="O236" s="2">
        <f>N236*C236</f>
        <v>1218.7</v>
      </c>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2.75">
      <c r="A237" s="6">
        <v>2</v>
      </c>
      <c r="B237" s="2" t="s">
        <v>19</v>
      </c>
      <c r="C237" s="7">
        <v>174.1</v>
      </c>
      <c r="D237" s="10">
        <v>0.2777777777777778</v>
      </c>
      <c r="E237"/>
      <c r="F237"/>
      <c r="G237" s="6" t="s">
        <v>15</v>
      </c>
      <c r="H237"/>
      <c r="I237" s="9">
        <f>C237/D237/24</f>
        <v>26.115</v>
      </c>
      <c r="J237"/>
      <c r="K237" s="2" t="s">
        <v>20</v>
      </c>
      <c r="L237" s="2" t="s">
        <v>29</v>
      </c>
      <c r="M237" s="2" t="s">
        <v>18</v>
      </c>
      <c r="N237" s="2">
        <v>7</v>
      </c>
      <c r="O237" s="2">
        <f>N237*C237</f>
        <v>1218.7</v>
      </c>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2.75">
      <c r="A238">
        <v>6</v>
      </c>
      <c r="B238" s="6" t="s">
        <v>56</v>
      </c>
      <c r="C238" s="6">
        <v>573</v>
      </c>
      <c r="D238" s="8">
        <v>0.4375</v>
      </c>
      <c r="E238" s="10">
        <v>0.4354166666666667</v>
      </c>
      <c r="F238" s="3" t="s">
        <v>57</v>
      </c>
      <c r="G238" s="6" t="s">
        <v>15</v>
      </c>
      <c r="H238" s="6"/>
      <c r="I238" s="9">
        <f>C238/D238/24</f>
        <v>54.57142857142858</v>
      </c>
      <c r="J238" s="9">
        <f>C238/E238/24</f>
        <v>54.83253588516746</v>
      </c>
      <c r="K238" s="2" t="s">
        <v>16</v>
      </c>
      <c r="L238" s="2" t="s">
        <v>29</v>
      </c>
      <c r="M238" s="2" t="s">
        <v>34</v>
      </c>
      <c r="N238" s="2">
        <v>7</v>
      </c>
      <c r="O238" s="2">
        <f>N238*C238</f>
        <v>4011</v>
      </c>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2.75">
      <c r="A239">
        <v>5</v>
      </c>
      <c r="B239" s="1" t="s">
        <v>59</v>
      </c>
      <c r="C239" s="6">
        <v>573</v>
      </c>
      <c r="D239" s="8">
        <v>0.4375</v>
      </c>
      <c r="E239" s="10">
        <v>0.43680555555555556</v>
      </c>
      <c r="F239" s="3" t="s">
        <v>57</v>
      </c>
      <c r="G239" s="6" t="s">
        <v>15</v>
      </c>
      <c r="H239" s="6"/>
      <c r="I239" s="9">
        <f>C239/D239/24</f>
        <v>54.57142857142858</v>
      </c>
      <c r="J239" s="9">
        <f>C239/E239/24</f>
        <v>54.65818759936408</v>
      </c>
      <c r="K239" s="2" t="s">
        <v>20</v>
      </c>
      <c r="L239" s="2" t="s">
        <v>29</v>
      </c>
      <c r="M239" s="2" t="s">
        <v>34</v>
      </c>
      <c r="N239" s="2">
        <v>7</v>
      </c>
      <c r="O239" s="2">
        <f>N239*C239</f>
        <v>4011</v>
      </c>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2.75">
      <c r="A240" s="1">
        <v>1</v>
      </c>
      <c r="B240" s="1" t="s">
        <v>60</v>
      </c>
      <c r="C240">
        <v>100</v>
      </c>
      <c r="D240" s="8">
        <v>0.12152777777777778</v>
      </c>
      <c r="E240" s="10">
        <v>0.08680555555555555</v>
      </c>
      <c r="F240" s="6"/>
      <c r="G240" s="15" t="s">
        <v>15</v>
      </c>
      <c r="H240" s="6"/>
      <c r="I240" s="9">
        <f>C240/D240/24</f>
        <v>34.285714285714285</v>
      </c>
      <c r="J240" s="9">
        <f>C240/E240/24</f>
        <v>48</v>
      </c>
      <c r="K240" s="2" t="s">
        <v>20</v>
      </c>
      <c r="L240" s="2" t="s">
        <v>29</v>
      </c>
      <c r="M240" s="2" t="s">
        <v>34</v>
      </c>
      <c r="N240">
        <v>7</v>
      </c>
      <c r="O240" s="2">
        <f>N240*C240</f>
        <v>700</v>
      </c>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2.75">
      <c r="A241" s="1">
        <v>3</v>
      </c>
      <c r="B241" s="1" t="s">
        <v>61</v>
      </c>
      <c r="C241">
        <v>100</v>
      </c>
      <c r="D241" s="8">
        <v>0.09375</v>
      </c>
      <c r="E241" s="10">
        <v>0.08680555555555555</v>
      </c>
      <c r="F241" s="6"/>
      <c r="G241" s="15" t="s">
        <v>15</v>
      </c>
      <c r="H241" s="6"/>
      <c r="I241" s="9">
        <f>C241/D241/24</f>
        <v>44.44444444444445</v>
      </c>
      <c r="J241" s="9">
        <f>C241/E241/24</f>
        <v>48</v>
      </c>
      <c r="K241" s="2" t="s">
        <v>16</v>
      </c>
      <c r="L241" s="2" t="s">
        <v>29</v>
      </c>
      <c r="M241" s="2" t="s">
        <v>34</v>
      </c>
      <c r="N241">
        <v>7</v>
      </c>
      <c r="O241" s="2">
        <f>N241*C241</f>
        <v>700</v>
      </c>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2.75">
      <c r="A242" s="1">
        <v>2</v>
      </c>
      <c r="B242" s="1" t="s">
        <v>69</v>
      </c>
      <c r="C242" s="20">
        <v>20</v>
      </c>
      <c r="D242" s="10">
        <v>0.024305555555555556</v>
      </c>
      <c r="E242"/>
      <c r="F242"/>
      <c r="G242" s="15" t="s">
        <v>15</v>
      </c>
      <c r="H242"/>
      <c r="I242" s="9">
        <f>C242/D242/24</f>
        <v>34.285714285714285</v>
      </c>
      <c r="J242"/>
      <c r="K242" s="2" t="s">
        <v>20</v>
      </c>
      <c r="L242" s="2" t="s">
        <v>29</v>
      </c>
      <c r="M242" s="2" t="s">
        <v>34</v>
      </c>
      <c r="N242">
        <v>7</v>
      </c>
      <c r="O242" s="2">
        <f>N242*C242</f>
        <v>140</v>
      </c>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2.75">
      <c r="A243" s="1">
        <v>1</v>
      </c>
      <c r="B243" s="1" t="s">
        <v>71</v>
      </c>
      <c r="C243" s="20">
        <v>20</v>
      </c>
      <c r="D243" s="10">
        <v>0.024305555555555556</v>
      </c>
      <c r="E243"/>
      <c r="F243"/>
      <c r="G243" s="15" t="s">
        <v>15</v>
      </c>
      <c r="H243"/>
      <c r="I243" s="9">
        <f>C243/D243/24</f>
        <v>34.285714285714285</v>
      </c>
      <c r="J243"/>
      <c r="K243" s="2" t="s">
        <v>16</v>
      </c>
      <c r="L243" s="2" t="s">
        <v>29</v>
      </c>
      <c r="M243" s="2" t="s">
        <v>34</v>
      </c>
      <c r="N243">
        <v>7</v>
      </c>
      <c r="O243" s="2">
        <f>N243*C243</f>
        <v>140</v>
      </c>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2.75">
      <c r="A244">
        <v>3</v>
      </c>
      <c r="B244" s="1" t="s">
        <v>69</v>
      </c>
      <c r="C244" s="20">
        <v>20</v>
      </c>
      <c r="D244" s="10">
        <v>0.024305555555555556</v>
      </c>
      <c r="E244"/>
      <c r="F244"/>
      <c r="G244" s="15" t="s">
        <v>73</v>
      </c>
      <c r="H244"/>
      <c r="I244" s="9">
        <f>C244/D244/24</f>
        <v>34.285714285714285</v>
      </c>
      <c r="J244"/>
      <c r="K244" s="2" t="s">
        <v>20</v>
      </c>
      <c r="L244" s="2" t="s">
        <v>29</v>
      </c>
      <c r="M244" s="2" t="s">
        <v>34</v>
      </c>
      <c r="N244">
        <v>5</v>
      </c>
      <c r="O244" s="2">
        <f>N244*C244</f>
        <v>100</v>
      </c>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2.75">
      <c r="A245">
        <v>2</v>
      </c>
      <c r="B245" s="1" t="s">
        <v>71</v>
      </c>
      <c r="C245" s="20">
        <v>20</v>
      </c>
      <c r="D245" s="10">
        <v>0.024305555555555556</v>
      </c>
      <c r="E245"/>
      <c r="F245"/>
      <c r="G245" s="15" t="s">
        <v>73</v>
      </c>
      <c r="H245"/>
      <c r="I245" s="9">
        <f>C245/D245/24</f>
        <v>34.285714285714285</v>
      </c>
      <c r="J245"/>
      <c r="K245" s="2" t="s">
        <v>16</v>
      </c>
      <c r="L245" s="2" t="s">
        <v>29</v>
      </c>
      <c r="M245" s="2" t="s">
        <v>34</v>
      </c>
      <c r="N245">
        <v>5</v>
      </c>
      <c r="O245" s="2">
        <f>N245*C245</f>
        <v>100</v>
      </c>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2:256" ht="12.75">
      <c r="B246"/>
      <c r="C246" s="6"/>
      <c r="D246" s="6"/>
      <c r="E246"/>
      <c r="F246" s="6"/>
      <c r="G246" s="6"/>
      <c r="H246" s="6"/>
      <c r="J246"/>
      <c r="L246" s="1"/>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2:256" ht="12.75">
      <c r="B247"/>
      <c r="C247"/>
      <c r="D247"/>
      <c r="E247"/>
      <c r="F247"/>
      <c r="G247"/>
      <c r="H247"/>
      <c r="I247"/>
      <c r="J247"/>
      <c r="K247"/>
      <c r="L247" s="2" t="s">
        <v>29</v>
      </c>
      <c r="M247" s="2" t="s">
        <v>18</v>
      </c>
      <c r="N247" s="2">
        <f>N237+N236</f>
        <v>14</v>
      </c>
      <c r="O247" s="2">
        <f>O237+O236</f>
        <v>2437.4</v>
      </c>
      <c r="P247" s="13">
        <f>N247/N249</f>
        <v>0.21212121212121213</v>
      </c>
      <c r="Q247" s="13">
        <f>O247/O249</f>
        <v>0.19752986368867206</v>
      </c>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2:256" ht="12.75">
      <c r="B248"/>
      <c r="C248"/>
      <c r="D248" s="19"/>
      <c r="E248"/>
      <c r="F248"/>
      <c r="G248"/>
      <c r="H248"/>
      <c r="I248"/>
      <c r="J248"/>
      <c r="K248"/>
      <c r="L248" s="2" t="s">
        <v>29</v>
      </c>
      <c r="M248" s="2" t="s">
        <v>34</v>
      </c>
      <c r="N248" s="2">
        <f>SUM(N238:N245)</f>
        <v>52</v>
      </c>
      <c r="O248" s="2">
        <f>SUM(O238:O245)</f>
        <v>9902</v>
      </c>
      <c r="P248" s="13">
        <f>N248/N249</f>
        <v>0.7878787878787878</v>
      </c>
      <c r="Q248" s="13">
        <f>O248/O249</f>
        <v>0.802470136311328</v>
      </c>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2:256" ht="12.75">
      <c r="B249"/>
      <c r="E249"/>
      <c r="J249"/>
      <c r="K249"/>
      <c r="L249" s="2" t="s">
        <v>29</v>
      </c>
      <c r="M249" t="s">
        <v>25</v>
      </c>
      <c r="N249" s="2">
        <f>N248+N247</f>
        <v>66</v>
      </c>
      <c r="O249" s="2">
        <f>O248+O247</f>
        <v>12339.4</v>
      </c>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2.75">
      <c r="A251" s="3" t="s">
        <v>76</v>
      </c>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2.75">
      <c r="A252" s="4" t="s">
        <v>0</v>
      </c>
      <c r="B252" s="4" t="s">
        <v>1</v>
      </c>
      <c r="C252" s="4" t="s">
        <v>2</v>
      </c>
      <c r="D252" s="4" t="s">
        <v>3</v>
      </c>
      <c r="E252" s="5" t="s">
        <v>4</v>
      </c>
      <c r="F252" s="4" t="s">
        <v>5</v>
      </c>
      <c r="G252" s="4" t="s">
        <v>6</v>
      </c>
      <c r="H252" s="4" t="s">
        <v>7</v>
      </c>
      <c r="I252" s="4" t="s">
        <v>8</v>
      </c>
      <c r="J252" s="5" t="s">
        <v>4</v>
      </c>
      <c r="K252" s="4" t="s">
        <v>9</v>
      </c>
      <c r="L252" s="4" t="s">
        <v>10</v>
      </c>
      <c r="M252" s="4" t="s">
        <v>11</v>
      </c>
      <c r="N252" s="4" t="s">
        <v>12</v>
      </c>
      <c r="O252" s="4" t="s">
        <v>13</v>
      </c>
      <c r="P252" s="4" t="s">
        <v>26</v>
      </c>
      <c r="Q252" s="4" t="s">
        <v>27</v>
      </c>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2.75">
      <c r="A253" s="6">
        <v>1</v>
      </c>
      <c r="B253" s="2" t="s">
        <v>14</v>
      </c>
      <c r="C253" s="7">
        <v>174.1</v>
      </c>
      <c r="D253" s="8">
        <v>0.2604166666666667</v>
      </c>
      <c r="E253"/>
      <c r="F253" s="6"/>
      <c r="G253" s="6" t="s">
        <v>15</v>
      </c>
      <c r="H253"/>
      <c r="I253" s="9">
        <f>C253/D253/24</f>
        <v>27.855999999999998</v>
      </c>
      <c r="J253"/>
      <c r="K253" s="2" t="s">
        <v>16</v>
      </c>
      <c r="L253" s="1" t="s">
        <v>17</v>
      </c>
      <c r="M253" s="2" t="s">
        <v>18</v>
      </c>
      <c r="N253" s="2">
        <v>7</v>
      </c>
      <c r="O253" s="2">
        <f>N253*C253</f>
        <v>1218.7</v>
      </c>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2.75">
      <c r="A254" s="6">
        <v>2</v>
      </c>
      <c r="B254" s="2" t="s">
        <v>19</v>
      </c>
      <c r="C254" s="7">
        <v>174.1</v>
      </c>
      <c r="D254" s="10">
        <v>0.2777777777777778</v>
      </c>
      <c r="E254"/>
      <c r="F254"/>
      <c r="G254" s="6" t="s">
        <v>15</v>
      </c>
      <c r="H254"/>
      <c r="I254" s="9">
        <f>C254/D254/24</f>
        <v>26.115</v>
      </c>
      <c r="J254"/>
      <c r="K254" s="2" t="s">
        <v>20</v>
      </c>
      <c r="L254" s="1" t="s">
        <v>17</v>
      </c>
      <c r="M254" s="2" t="s">
        <v>18</v>
      </c>
      <c r="N254" s="2">
        <v>7</v>
      </c>
      <c r="O254" s="2">
        <f>N254*C254</f>
        <v>1218.7</v>
      </c>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2.75">
      <c r="A255" s="1">
        <v>6</v>
      </c>
      <c r="B255" s="6" t="s">
        <v>56</v>
      </c>
      <c r="C255" s="6">
        <v>573</v>
      </c>
      <c r="D255" s="8">
        <v>0.4965277777777778</v>
      </c>
      <c r="E255" s="10">
        <v>0.4895833333333333</v>
      </c>
      <c r="F255" s="3" t="s">
        <v>57</v>
      </c>
      <c r="G255" s="6" t="s">
        <v>54</v>
      </c>
      <c r="H255" s="6"/>
      <c r="I255" s="9">
        <f>C255/D255/24</f>
        <v>48.08391608391608</v>
      </c>
      <c r="J255" s="9">
        <f>C255/E255/24</f>
        <v>48.76595744680851</v>
      </c>
      <c r="K255" s="2" t="s">
        <v>16</v>
      </c>
      <c r="L255" s="1" t="s">
        <v>17</v>
      </c>
      <c r="M255" s="2" t="s">
        <v>34</v>
      </c>
      <c r="N255" s="2">
        <v>1</v>
      </c>
      <c r="O255" s="2">
        <f>N255*C255</f>
        <v>573</v>
      </c>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2.75">
      <c r="A256" s="1">
        <v>5</v>
      </c>
      <c r="B256" s="1" t="s">
        <v>59</v>
      </c>
      <c r="C256" s="6">
        <v>573</v>
      </c>
      <c r="D256" s="8">
        <v>0.4861111111111111</v>
      </c>
      <c r="E256" s="10">
        <v>0.4791666666666667</v>
      </c>
      <c r="F256" s="3" t="s">
        <v>57</v>
      </c>
      <c r="G256" s="6" t="s">
        <v>54</v>
      </c>
      <c r="H256" s="6"/>
      <c r="I256" s="9">
        <f>C256/D256/24</f>
        <v>49.11428571428572</v>
      </c>
      <c r="J256" s="9">
        <f>C256/E256/24</f>
        <v>49.82608695652174</v>
      </c>
      <c r="K256" s="2" t="s">
        <v>20</v>
      </c>
      <c r="L256" s="1" t="s">
        <v>17</v>
      </c>
      <c r="M256" s="2" t="s">
        <v>34</v>
      </c>
      <c r="N256" s="2">
        <v>1</v>
      </c>
      <c r="O256" s="2">
        <f>N256*C256</f>
        <v>573</v>
      </c>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2.75">
      <c r="A257" s="1">
        <v>8</v>
      </c>
      <c r="B257" s="6" t="s">
        <v>56</v>
      </c>
      <c r="C257" s="6">
        <v>573</v>
      </c>
      <c r="D257" s="8">
        <v>0.4965277777777778</v>
      </c>
      <c r="E257" s="10">
        <v>0.4895833333333333</v>
      </c>
      <c r="F257" s="3" t="s">
        <v>57</v>
      </c>
      <c r="G257" s="6" t="s">
        <v>54</v>
      </c>
      <c r="H257" s="6"/>
      <c r="I257" s="9">
        <f>C257/D257/24</f>
        <v>48.08391608391608</v>
      </c>
      <c r="J257" s="9">
        <f>C257/E257/24</f>
        <v>48.76595744680851</v>
      </c>
      <c r="K257" s="2" t="s">
        <v>16</v>
      </c>
      <c r="L257" s="1" t="s">
        <v>17</v>
      </c>
      <c r="M257" s="2" t="s">
        <v>34</v>
      </c>
      <c r="N257" s="2">
        <v>1</v>
      </c>
      <c r="O257" s="2">
        <f>N257*C257</f>
        <v>573</v>
      </c>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2.75">
      <c r="A258" s="1">
        <v>7</v>
      </c>
      <c r="B258" s="1" t="s">
        <v>59</v>
      </c>
      <c r="C258" s="6">
        <v>573</v>
      </c>
      <c r="D258" s="8">
        <v>0.4861111111111111</v>
      </c>
      <c r="E258" s="10">
        <v>0.4791666666666667</v>
      </c>
      <c r="F258" s="3" t="s">
        <v>57</v>
      </c>
      <c r="G258" s="6" t="s">
        <v>54</v>
      </c>
      <c r="H258" s="6"/>
      <c r="I258" s="9">
        <f>C258/D258/24</f>
        <v>49.11428571428572</v>
      </c>
      <c r="J258" s="9">
        <f>C258/E258/24</f>
        <v>49.82608695652174</v>
      </c>
      <c r="K258" s="2" t="s">
        <v>20</v>
      </c>
      <c r="L258" s="1" t="s">
        <v>17</v>
      </c>
      <c r="M258" s="2" t="s">
        <v>34</v>
      </c>
      <c r="N258" s="2">
        <v>1</v>
      </c>
      <c r="O258" s="2">
        <f>N258*C258</f>
        <v>573</v>
      </c>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2.75">
      <c r="A259"/>
      <c r="B259" s="1" t="s">
        <v>60</v>
      </c>
      <c r="C259">
        <v>100</v>
      </c>
      <c r="D259" s="8"/>
      <c r="E259" s="10"/>
      <c r="F259" s="6"/>
      <c r="G259" s="15" t="s">
        <v>15</v>
      </c>
      <c r="H259" s="6"/>
      <c r="I259" s="9"/>
      <c r="J259" s="9"/>
      <c r="K259" s="2" t="s">
        <v>20</v>
      </c>
      <c r="L259" s="1" t="s">
        <v>17</v>
      </c>
      <c r="M259" s="2" t="s">
        <v>34</v>
      </c>
      <c r="N259" s="2">
        <v>7</v>
      </c>
      <c r="O259" s="2">
        <f>N259*C259</f>
        <v>700</v>
      </c>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2.75">
      <c r="A260"/>
      <c r="B260" s="1" t="s">
        <v>61</v>
      </c>
      <c r="C260">
        <v>100</v>
      </c>
      <c r="D260" s="8"/>
      <c r="E260" s="10"/>
      <c r="F260" s="6"/>
      <c r="G260" s="15" t="s">
        <v>15</v>
      </c>
      <c r="H260" s="6"/>
      <c r="I260" s="9"/>
      <c r="J260" s="9"/>
      <c r="K260" s="2" t="s">
        <v>16</v>
      </c>
      <c r="L260" s="1" t="s">
        <v>17</v>
      </c>
      <c r="M260" s="2" t="s">
        <v>34</v>
      </c>
      <c r="N260" s="2">
        <v>7</v>
      </c>
      <c r="O260" s="2">
        <f>N260*C260</f>
        <v>700</v>
      </c>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2:256" ht="12.75">
      <c r="B261"/>
      <c r="C261" s="6"/>
      <c r="D261" s="6"/>
      <c r="E261"/>
      <c r="F261" s="6"/>
      <c r="G261" s="6"/>
      <c r="H261" s="6"/>
      <c r="J261"/>
      <c r="L261" s="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2:256" ht="12.75">
      <c r="B262"/>
      <c r="C262"/>
      <c r="D262"/>
      <c r="E262"/>
      <c r="F262"/>
      <c r="G262"/>
      <c r="H262"/>
      <c r="I262"/>
      <c r="J262"/>
      <c r="K262"/>
      <c r="L262" s="1" t="s">
        <v>17</v>
      </c>
      <c r="M262" s="2" t="s">
        <v>18</v>
      </c>
      <c r="N262" s="2">
        <f>N254+N253</f>
        <v>14</v>
      </c>
      <c r="O262" s="2">
        <f>O254+O253</f>
        <v>2437.4</v>
      </c>
      <c r="P262" s="13">
        <f>N262/N264</f>
        <v>0.4375</v>
      </c>
      <c r="Q262" s="13">
        <f>O262/O264</f>
        <v>0.397657193199987</v>
      </c>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2:256" ht="12.75">
      <c r="B263"/>
      <c r="C263"/>
      <c r="D263" s="19"/>
      <c r="E263"/>
      <c r="F263"/>
      <c r="G263"/>
      <c r="H263"/>
      <c r="I263"/>
      <c r="J263"/>
      <c r="K263"/>
      <c r="L263" s="1" t="s">
        <v>17</v>
      </c>
      <c r="M263" s="2" t="s">
        <v>34</v>
      </c>
      <c r="N263" s="2">
        <f>SUM(N255:N260)</f>
        <v>18</v>
      </c>
      <c r="O263" s="2">
        <f>SUM(O255:O260)</f>
        <v>3692</v>
      </c>
      <c r="P263" s="13">
        <f>N263/N264</f>
        <v>0.5625</v>
      </c>
      <c r="Q263" s="13">
        <f>O263/O264</f>
        <v>0.6023428068000131</v>
      </c>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2:256" ht="12.75">
      <c r="B264"/>
      <c r="E264"/>
      <c r="J264"/>
      <c r="K264"/>
      <c r="L264" s="1" t="s">
        <v>17</v>
      </c>
      <c r="M264" t="s">
        <v>25</v>
      </c>
      <c r="N264" s="2">
        <f>N263+N262</f>
        <v>32</v>
      </c>
      <c r="O264" s="2">
        <f>O263+O262</f>
        <v>6129.4</v>
      </c>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2.75">
      <c r="A266" s="3">
        <v>1980</v>
      </c>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2.75">
      <c r="A267" s="4" t="s">
        <v>0</v>
      </c>
      <c r="B267" s="4" t="s">
        <v>1</v>
      </c>
      <c r="C267" s="4" t="s">
        <v>2</v>
      </c>
      <c r="D267" s="4" t="s">
        <v>3</v>
      </c>
      <c r="E267" s="5" t="s">
        <v>4</v>
      </c>
      <c r="F267" s="4" t="s">
        <v>5</v>
      </c>
      <c r="G267" s="4" t="s">
        <v>6</v>
      </c>
      <c r="H267" s="4" t="s">
        <v>7</v>
      </c>
      <c r="I267" s="4" t="s">
        <v>8</v>
      </c>
      <c r="J267" s="5" t="s">
        <v>4</v>
      </c>
      <c r="K267" s="4" t="s">
        <v>9</v>
      </c>
      <c r="L267" s="4" t="s">
        <v>10</v>
      </c>
      <c r="M267" s="4" t="s">
        <v>11</v>
      </c>
      <c r="N267" s="4" t="s">
        <v>12</v>
      </c>
      <c r="O267" s="4" t="s">
        <v>13</v>
      </c>
      <c r="P267" s="4" t="s">
        <v>26</v>
      </c>
      <c r="Q267" s="4" t="s">
        <v>27</v>
      </c>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2.75">
      <c r="A268" s="6">
        <v>1</v>
      </c>
      <c r="B268" s="2" t="s">
        <v>14</v>
      </c>
      <c r="C268" s="7">
        <v>174.1</v>
      </c>
      <c r="D268" s="8">
        <v>0.2604166666666667</v>
      </c>
      <c r="E268"/>
      <c r="F268" s="6"/>
      <c r="G268" s="6" t="s">
        <v>15</v>
      </c>
      <c r="H268"/>
      <c r="I268" s="9">
        <f>C268/D268/24</f>
        <v>27.855999999999998</v>
      </c>
      <c r="J268"/>
      <c r="K268" s="2" t="s">
        <v>16</v>
      </c>
      <c r="L268" s="2" t="s">
        <v>29</v>
      </c>
      <c r="M268" s="2" t="s">
        <v>18</v>
      </c>
      <c r="N268" s="2">
        <v>7</v>
      </c>
      <c r="O268" s="2">
        <f>N268*C268</f>
        <v>1218.7</v>
      </c>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2.75">
      <c r="A269" s="6">
        <v>2</v>
      </c>
      <c r="B269" s="2" t="s">
        <v>19</v>
      </c>
      <c r="C269" s="7">
        <v>174.1</v>
      </c>
      <c r="D269" s="10">
        <v>0.2777777777777778</v>
      </c>
      <c r="E269"/>
      <c r="F269"/>
      <c r="G269" s="6" t="s">
        <v>15</v>
      </c>
      <c r="H269"/>
      <c r="I269" s="9">
        <f>C269/D269/24</f>
        <v>26.115</v>
      </c>
      <c r="J269"/>
      <c r="K269" s="2" t="s">
        <v>20</v>
      </c>
      <c r="L269" s="2" t="s">
        <v>29</v>
      </c>
      <c r="M269" s="2" t="s">
        <v>18</v>
      </c>
      <c r="N269" s="2">
        <v>7</v>
      </c>
      <c r="O269" s="2">
        <f>N269*C269</f>
        <v>1218.7</v>
      </c>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2.75">
      <c r="A270">
        <v>6</v>
      </c>
      <c r="B270" s="6" t="s">
        <v>56</v>
      </c>
      <c r="C270" s="6">
        <v>573</v>
      </c>
      <c r="D270" s="8">
        <v>0.4375</v>
      </c>
      <c r="E270" s="10">
        <v>0.4354166666666667</v>
      </c>
      <c r="F270" s="3" t="s">
        <v>57</v>
      </c>
      <c r="G270" s="6" t="s">
        <v>15</v>
      </c>
      <c r="H270" s="6"/>
      <c r="I270" s="9">
        <f>C270/D270/24</f>
        <v>54.57142857142858</v>
      </c>
      <c r="J270" s="9">
        <f>C270/E270/24</f>
        <v>54.83253588516746</v>
      </c>
      <c r="K270" s="2" t="s">
        <v>16</v>
      </c>
      <c r="L270" s="2" t="s">
        <v>29</v>
      </c>
      <c r="M270" s="2" t="s">
        <v>34</v>
      </c>
      <c r="N270" s="2">
        <v>7</v>
      </c>
      <c r="O270" s="2">
        <f>N270*C270</f>
        <v>4011</v>
      </c>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2.75">
      <c r="A271">
        <v>5</v>
      </c>
      <c r="B271" s="1" t="s">
        <v>59</v>
      </c>
      <c r="C271" s="6">
        <v>573</v>
      </c>
      <c r="D271" s="8">
        <v>0.4375</v>
      </c>
      <c r="E271" s="10">
        <v>0.43680555555555556</v>
      </c>
      <c r="F271" s="3" t="s">
        <v>57</v>
      </c>
      <c r="G271" s="6" t="s">
        <v>15</v>
      </c>
      <c r="H271" s="6"/>
      <c r="I271" s="9">
        <f>C271/D271/24</f>
        <v>54.57142857142858</v>
      </c>
      <c r="J271" s="9">
        <f>C271/E271/24</f>
        <v>54.65818759936408</v>
      </c>
      <c r="K271" s="2" t="s">
        <v>20</v>
      </c>
      <c r="L271" s="2" t="s">
        <v>29</v>
      </c>
      <c r="M271" s="2" t="s">
        <v>34</v>
      </c>
      <c r="N271" s="2">
        <v>7</v>
      </c>
      <c r="O271" s="2">
        <f>N271*C271</f>
        <v>4011</v>
      </c>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2.75">
      <c r="A272" s="1">
        <v>1</v>
      </c>
      <c r="B272" s="1" t="s">
        <v>60</v>
      </c>
      <c r="C272">
        <v>100</v>
      </c>
      <c r="D272" s="8">
        <v>0.12152777777777778</v>
      </c>
      <c r="E272" s="10">
        <v>0.08680555555555555</v>
      </c>
      <c r="F272" s="6"/>
      <c r="G272" s="15" t="s">
        <v>15</v>
      </c>
      <c r="H272" s="6"/>
      <c r="I272" s="9">
        <f>C272/D272/24</f>
        <v>34.285714285714285</v>
      </c>
      <c r="J272" s="9">
        <f>C272/E272/24</f>
        <v>48</v>
      </c>
      <c r="K272" s="2" t="s">
        <v>20</v>
      </c>
      <c r="L272" s="2" t="s">
        <v>29</v>
      </c>
      <c r="M272" s="2" t="s">
        <v>34</v>
      </c>
      <c r="N272">
        <v>7</v>
      </c>
      <c r="O272" s="2">
        <f>N272*C272</f>
        <v>700</v>
      </c>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2.75">
      <c r="A273" s="1">
        <v>3</v>
      </c>
      <c r="B273" s="1" t="s">
        <v>61</v>
      </c>
      <c r="C273">
        <v>100</v>
      </c>
      <c r="D273" s="8">
        <v>0.09375</v>
      </c>
      <c r="E273" s="10">
        <v>0.08680555555555555</v>
      </c>
      <c r="F273" s="6"/>
      <c r="G273" s="15" t="s">
        <v>15</v>
      </c>
      <c r="H273" s="6"/>
      <c r="I273" s="9">
        <f>C273/D273/24</f>
        <v>44.44444444444445</v>
      </c>
      <c r="J273" s="9">
        <f>C273/E273/24</f>
        <v>48</v>
      </c>
      <c r="K273" s="2" t="s">
        <v>16</v>
      </c>
      <c r="L273" s="2" t="s">
        <v>29</v>
      </c>
      <c r="M273" s="2" t="s">
        <v>34</v>
      </c>
      <c r="N273">
        <v>7</v>
      </c>
      <c r="O273" s="2">
        <f>N273*C273</f>
        <v>700</v>
      </c>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2.75">
      <c r="A274" s="1">
        <v>2</v>
      </c>
      <c r="B274" s="1" t="s">
        <v>69</v>
      </c>
      <c r="C274" s="20">
        <v>20</v>
      </c>
      <c r="D274" s="10">
        <v>0.024305555555555556</v>
      </c>
      <c r="E274"/>
      <c r="F274"/>
      <c r="G274" s="15" t="s">
        <v>15</v>
      </c>
      <c r="H274"/>
      <c r="I274" s="9">
        <f>C274/D274/24</f>
        <v>34.285714285714285</v>
      </c>
      <c r="J274"/>
      <c r="K274" s="2" t="s">
        <v>20</v>
      </c>
      <c r="L274" s="2" t="s">
        <v>29</v>
      </c>
      <c r="M274" s="2" t="s">
        <v>34</v>
      </c>
      <c r="N274">
        <v>7</v>
      </c>
      <c r="O274" s="2">
        <f>N274*C274</f>
        <v>140</v>
      </c>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2.75">
      <c r="A275" s="1">
        <v>1</v>
      </c>
      <c r="B275" s="1" t="s">
        <v>71</v>
      </c>
      <c r="C275" s="20">
        <v>20</v>
      </c>
      <c r="D275" s="10">
        <v>0.024305555555555556</v>
      </c>
      <c r="E275"/>
      <c r="F275"/>
      <c r="G275" s="15" t="s">
        <v>15</v>
      </c>
      <c r="H275"/>
      <c r="I275" s="9">
        <f>C275/D275/24</f>
        <v>34.285714285714285</v>
      </c>
      <c r="J275"/>
      <c r="K275" s="2" t="s">
        <v>16</v>
      </c>
      <c r="L275" s="2" t="s">
        <v>29</v>
      </c>
      <c r="M275" s="2" t="s">
        <v>34</v>
      </c>
      <c r="N275">
        <v>7</v>
      </c>
      <c r="O275" s="2">
        <f>N275*C275</f>
        <v>140</v>
      </c>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2.75">
      <c r="A276">
        <v>3</v>
      </c>
      <c r="B276" s="1" t="s">
        <v>69</v>
      </c>
      <c r="C276" s="20">
        <v>20</v>
      </c>
      <c r="D276" s="10">
        <v>0.024305555555555556</v>
      </c>
      <c r="E276"/>
      <c r="F276"/>
      <c r="G276" s="15" t="s">
        <v>73</v>
      </c>
      <c r="H276"/>
      <c r="I276" s="9">
        <f>C276/D276/24</f>
        <v>34.285714285714285</v>
      </c>
      <c r="J276"/>
      <c r="K276" s="2" t="s">
        <v>20</v>
      </c>
      <c r="L276" s="2" t="s">
        <v>29</v>
      </c>
      <c r="M276" s="2" t="s">
        <v>34</v>
      </c>
      <c r="N276">
        <v>5</v>
      </c>
      <c r="O276" s="2">
        <f>N276*C276</f>
        <v>100</v>
      </c>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2.75">
      <c r="A277">
        <v>2</v>
      </c>
      <c r="B277" s="1" t="s">
        <v>71</v>
      </c>
      <c r="C277" s="20">
        <v>20</v>
      </c>
      <c r="D277" s="10">
        <v>0.024305555555555556</v>
      </c>
      <c r="E277"/>
      <c r="F277"/>
      <c r="G277" s="15" t="s">
        <v>73</v>
      </c>
      <c r="H277"/>
      <c r="I277" s="9">
        <f>C277/D277/24</f>
        <v>34.285714285714285</v>
      </c>
      <c r="J277"/>
      <c r="K277" s="2" t="s">
        <v>16</v>
      </c>
      <c r="L277" s="2" t="s">
        <v>29</v>
      </c>
      <c r="M277" s="2" t="s">
        <v>34</v>
      </c>
      <c r="N277">
        <v>5</v>
      </c>
      <c r="O277" s="2">
        <f>N277*C277</f>
        <v>100</v>
      </c>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2:256" ht="12.75">
      <c r="B278"/>
      <c r="C278" s="6"/>
      <c r="D278" s="6"/>
      <c r="E278"/>
      <c r="F278" s="6"/>
      <c r="G278" s="6"/>
      <c r="H278" s="6"/>
      <c r="J278"/>
      <c r="L278" s="1"/>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2:256" ht="12.75">
      <c r="B279"/>
      <c r="C279"/>
      <c r="D279"/>
      <c r="E279"/>
      <c r="F279"/>
      <c r="G279"/>
      <c r="H279"/>
      <c r="I279"/>
      <c r="J279"/>
      <c r="K279"/>
      <c r="L279" s="2" t="s">
        <v>29</v>
      </c>
      <c r="M279" s="2" t="s">
        <v>18</v>
      </c>
      <c r="N279" s="2">
        <f>N269+N268</f>
        <v>14</v>
      </c>
      <c r="O279" s="2">
        <f>O269+O268</f>
        <v>2437.4</v>
      </c>
      <c r="P279" s="13">
        <f>N279/N281</f>
        <v>0.21212121212121213</v>
      </c>
      <c r="Q279" s="13">
        <f>O279/O281</f>
        <v>0.19752986368867206</v>
      </c>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2:256" ht="12.75">
      <c r="B280"/>
      <c r="C280"/>
      <c r="D280" s="19"/>
      <c r="E280"/>
      <c r="F280"/>
      <c r="G280"/>
      <c r="H280"/>
      <c r="I280"/>
      <c r="J280"/>
      <c r="K280"/>
      <c r="L280" s="2" t="s">
        <v>29</v>
      </c>
      <c r="M280" s="2" t="s">
        <v>34</v>
      </c>
      <c r="N280" s="2">
        <f>SUM(N270:N277)</f>
        <v>52</v>
      </c>
      <c r="O280" s="2">
        <f>SUM(O270:O277)</f>
        <v>9902</v>
      </c>
      <c r="P280" s="13">
        <f>N280/N281</f>
        <v>0.7878787878787878</v>
      </c>
      <c r="Q280" s="13">
        <f>O280/O281</f>
        <v>0.802470136311328</v>
      </c>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2:256" ht="12.75">
      <c r="B281"/>
      <c r="E281"/>
      <c r="J281"/>
      <c r="K281"/>
      <c r="L281" s="2" t="s">
        <v>29</v>
      </c>
      <c r="M281" t="s">
        <v>25</v>
      </c>
      <c r="N281" s="2">
        <f>N280+N279</f>
        <v>66</v>
      </c>
      <c r="O281" s="2">
        <f>O280+O279</f>
        <v>12339.4</v>
      </c>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2.75">
      <c r="A283" s="3" t="s">
        <v>77</v>
      </c>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2.75">
      <c r="A284" s="4" t="s">
        <v>0</v>
      </c>
      <c r="B284" s="4" t="s">
        <v>1</v>
      </c>
      <c r="C284" s="4" t="s">
        <v>2</v>
      </c>
      <c r="D284" s="4" t="s">
        <v>3</v>
      </c>
      <c r="E284" s="5" t="s">
        <v>4</v>
      </c>
      <c r="F284" s="4" t="s">
        <v>5</v>
      </c>
      <c r="G284" s="4" t="s">
        <v>6</v>
      </c>
      <c r="H284" s="4" t="s">
        <v>7</v>
      </c>
      <c r="I284" s="4" t="s">
        <v>8</v>
      </c>
      <c r="J284" s="5" t="s">
        <v>4</v>
      </c>
      <c r="K284" s="4" t="s">
        <v>9</v>
      </c>
      <c r="L284" s="4" t="s">
        <v>10</v>
      </c>
      <c r="M284" s="4" t="s">
        <v>11</v>
      </c>
      <c r="N284" s="4" t="s">
        <v>12</v>
      </c>
      <c r="O284" s="4" t="s">
        <v>13</v>
      </c>
      <c r="P284" s="4" t="s">
        <v>26</v>
      </c>
      <c r="Q284" s="4" t="s">
        <v>27</v>
      </c>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2.75">
      <c r="A285" s="6">
        <v>1</v>
      </c>
      <c r="B285" s="2" t="s">
        <v>14</v>
      </c>
      <c r="C285" s="7">
        <v>174.1</v>
      </c>
      <c r="D285" s="8">
        <v>0.2604166666666667</v>
      </c>
      <c r="E285"/>
      <c r="F285" s="6"/>
      <c r="G285" s="6" t="s">
        <v>15</v>
      </c>
      <c r="H285"/>
      <c r="I285" s="9">
        <f>C285/D285/24</f>
        <v>27.855999999999998</v>
      </c>
      <c r="J285"/>
      <c r="K285" s="2" t="s">
        <v>16</v>
      </c>
      <c r="L285" s="1" t="s">
        <v>17</v>
      </c>
      <c r="M285" s="2" t="s">
        <v>18</v>
      </c>
      <c r="N285" s="2">
        <v>7</v>
      </c>
      <c r="O285" s="2">
        <f>N285*C285</f>
        <v>1218.7</v>
      </c>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2.75">
      <c r="A286" s="6">
        <v>2</v>
      </c>
      <c r="B286" s="2" t="s">
        <v>19</v>
      </c>
      <c r="C286" s="7">
        <v>174.1</v>
      </c>
      <c r="D286" s="10">
        <v>0.2777777777777778</v>
      </c>
      <c r="E286"/>
      <c r="F286"/>
      <c r="G286" s="6" t="s">
        <v>15</v>
      </c>
      <c r="H286"/>
      <c r="I286" s="9">
        <f>C286/D286/24</f>
        <v>26.115</v>
      </c>
      <c r="J286"/>
      <c r="K286" s="2" t="s">
        <v>20</v>
      </c>
      <c r="L286" s="1" t="s">
        <v>17</v>
      </c>
      <c r="M286" s="2" t="s">
        <v>18</v>
      </c>
      <c r="N286" s="2">
        <v>7</v>
      </c>
      <c r="O286" s="2">
        <f>N286*C286</f>
        <v>1218.7</v>
      </c>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2.75">
      <c r="A287" s="1">
        <v>6</v>
      </c>
      <c r="B287" s="6" t="s">
        <v>56</v>
      </c>
      <c r="C287" s="6">
        <v>573</v>
      </c>
      <c r="D287" s="8">
        <v>0.4965277777777778</v>
      </c>
      <c r="E287" s="10">
        <v>0.4895833333333333</v>
      </c>
      <c r="F287" s="3" t="s">
        <v>57</v>
      </c>
      <c r="G287" s="6" t="s">
        <v>54</v>
      </c>
      <c r="H287" s="6"/>
      <c r="I287" s="9">
        <f>C287/D287/24</f>
        <v>48.08391608391608</v>
      </c>
      <c r="J287" s="9">
        <f>C287/E287/24</f>
        <v>48.76595744680851</v>
      </c>
      <c r="K287" s="2" t="s">
        <v>16</v>
      </c>
      <c r="L287" s="1" t="s">
        <v>17</v>
      </c>
      <c r="M287" s="2" t="s">
        <v>34</v>
      </c>
      <c r="N287" s="2">
        <v>1</v>
      </c>
      <c r="O287" s="2">
        <f>N287*C287</f>
        <v>573</v>
      </c>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2.75">
      <c r="A288" s="1">
        <v>5</v>
      </c>
      <c r="B288" s="1" t="s">
        <v>59</v>
      </c>
      <c r="C288" s="6">
        <v>573</v>
      </c>
      <c r="D288" s="8">
        <v>0.4861111111111111</v>
      </c>
      <c r="E288" s="10">
        <v>0.4791666666666667</v>
      </c>
      <c r="F288" s="3" t="s">
        <v>57</v>
      </c>
      <c r="G288" s="6" t="s">
        <v>54</v>
      </c>
      <c r="H288" s="6"/>
      <c r="I288" s="9">
        <f>C288/D288/24</f>
        <v>49.11428571428572</v>
      </c>
      <c r="J288" s="9">
        <f>C288/E288/24</f>
        <v>49.82608695652174</v>
      </c>
      <c r="K288" s="2" t="s">
        <v>20</v>
      </c>
      <c r="L288" s="1" t="s">
        <v>17</v>
      </c>
      <c r="M288" s="2" t="s">
        <v>34</v>
      </c>
      <c r="N288" s="2">
        <v>1</v>
      </c>
      <c r="O288" s="2">
        <f>N288*C288</f>
        <v>573</v>
      </c>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2.75">
      <c r="A289" s="1">
        <v>8</v>
      </c>
      <c r="B289" s="6" t="s">
        <v>56</v>
      </c>
      <c r="C289" s="6">
        <v>573</v>
      </c>
      <c r="D289" s="8">
        <v>0.4965277777777778</v>
      </c>
      <c r="E289" s="10">
        <v>0.4895833333333333</v>
      </c>
      <c r="F289" s="3" t="s">
        <v>57</v>
      </c>
      <c r="G289" s="6" t="s">
        <v>54</v>
      </c>
      <c r="H289" s="6"/>
      <c r="I289" s="9">
        <f>C289/D289/24</f>
        <v>48.08391608391608</v>
      </c>
      <c r="J289" s="9">
        <f>C289/E289/24</f>
        <v>48.76595744680851</v>
      </c>
      <c r="K289" s="2" t="s">
        <v>16</v>
      </c>
      <c r="L289" s="1" t="s">
        <v>17</v>
      </c>
      <c r="M289" s="2" t="s">
        <v>34</v>
      </c>
      <c r="N289" s="2">
        <v>1</v>
      </c>
      <c r="O289" s="2">
        <f>N289*C289</f>
        <v>573</v>
      </c>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2.75">
      <c r="A290" s="1">
        <v>7</v>
      </c>
      <c r="B290" s="1" t="s">
        <v>59</v>
      </c>
      <c r="C290" s="6">
        <v>573</v>
      </c>
      <c r="D290" s="8">
        <v>0.4861111111111111</v>
      </c>
      <c r="E290" s="10">
        <v>0.4791666666666667</v>
      </c>
      <c r="F290" s="3" t="s">
        <v>57</v>
      </c>
      <c r="G290" s="6" t="s">
        <v>54</v>
      </c>
      <c r="H290" s="6"/>
      <c r="I290" s="9">
        <f>C290/D290/24</f>
        <v>49.11428571428572</v>
      </c>
      <c r="J290" s="9">
        <f>C290/E290/24</f>
        <v>49.82608695652174</v>
      </c>
      <c r="K290" s="2" t="s">
        <v>20</v>
      </c>
      <c r="L290" s="1" t="s">
        <v>17</v>
      </c>
      <c r="M290" s="2" t="s">
        <v>34</v>
      </c>
      <c r="N290" s="2">
        <v>1</v>
      </c>
      <c r="O290" s="2">
        <f>N290*C290</f>
        <v>573</v>
      </c>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2.75">
      <c r="A291"/>
      <c r="B291" s="1" t="s">
        <v>60</v>
      </c>
      <c r="C291">
        <v>100</v>
      </c>
      <c r="D291" s="8"/>
      <c r="E291" s="10"/>
      <c r="F291" s="6"/>
      <c r="G291" s="15" t="s">
        <v>15</v>
      </c>
      <c r="H291" s="6"/>
      <c r="I291" s="9"/>
      <c r="J291" s="9"/>
      <c r="K291" s="2" t="s">
        <v>20</v>
      </c>
      <c r="L291" s="1" t="s">
        <v>17</v>
      </c>
      <c r="M291" s="2" t="s">
        <v>34</v>
      </c>
      <c r="N291" s="2">
        <v>7</v>
      </c>
      <c r="O291" s="2">
        <f>N291*C291</f>
        <v>700</v>
      </c>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2.75">
      <c r="A292"/>
      <c r="B292" s="1" t="s">
        <v>61</v>
      </c>
      <c r="C292">
        <v>100</v>
      </c>
      <c r="D292" s="8"/>
      <c r="E292" s="10"/>
      <c r="F292" s="6"/>
      <c r="G292" s="15" t="s">
        <v>15</v>
      </c>
      <c r="H292" s="6"/>
      <c r="I292" s="9"/>
      <c r="J292" s="9"/>
      <c r="K292" s="2" t="s">
        <v>16</v>
      </c>
      <c r="L292" s="1" t="s">
        <v>17</v>
      </c>
      <c r="M292" s="2" t="s">
        <v>34</v>
      </c>
      <c r="N292" s="2">
        <v>7</v>
      </c>
      <c r="O292" s="2">
        <f>N292*C292</f>
        <v>700</v>
      </c>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2:256" ht="12.75">
      <c r="B293"/>
      <c r="C293" s="6"/>
      <c r="D293" s="6"/>
      <c r="E293"/>
      <c r="F293" s="6"/>
      <c r="G293" s="6"/>
      <c r="H293" s="6"/>
      <c r="J293"/>
      <c r="L293" s="1"/>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2:256" ht="12.75">
      <c r="B294"/>
      <c r="C294"/>
      <c r="D294"/>
      <c r="E294"/>
      <c r="F294"/>
      <c r="G294"/>
      <c r="H294"/>
      <c r="I294"/>
      <c r="J294"/>
      <c r="K294"/>
      <c r="L294" s="1" t="s">
        <v>17</v>
      </c>
      <c r="M294" s="2" t="s">
        <v>18</v>
      </c>
      <c r="N294" s="2">
        <f>N286+N285</f>
        <v>14</v>
      </c>
      <c r="O294" s="2">
        <f>O286+O285</f>
        <v>2437.4</v>
      </c>
      <c r="P294" s="13">
        <f>N294/N296</f>
        <v>0.4375</v>
      </c>
      <c r="Q294" s="13">
        <f>O294/O296</f>
        <v>0.397657193199987</v>
      </c>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2:256" ht="12.75">
      <c r="B295"/>
      <c r="C295"/>
      <c r="D295" s="19"/>
      <c r="E295"/>
      <c r="F295"/>
      <c r="G295"/>
      <c r="H295"/>
      <c r="I295"/>
      <c r="J295"/>
      <c r="K295"/>
      <c r="L295" s="1" t="s">
        <v>17</v>
      </c>
      <c r="M295" s="2" t="s">
        <v>34</v>
      </c>
      <c r="N295" s="2">
        <f>SUM(N287:N292)</f>
        <v>18</v>
      </c>
      <c r="O295" s="2">
        <f>SUM(O287:O292)</f>
        <v>3692</v>
      </c>
      <c r="P295" s="13">
        <f>N295/N296</f>
        <v>0.5625</v>
      </c>
      <c r="Q295" s="13">
        <f>O295/O296</f>
        <v>0.6023428068000131</v>
      </c>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2:256" ht="12.75">
      <c r="B296"/>
      <c r="E296"/>
      <c r="J296"/>
      <c r="K296"/>
      <c r="L296" s="1" t="s">
        <v>17</v>
      </c>
      <c r="M296" t="s">
        <v>25</v>
      </c>
      <c r="N296" s="2">
        <f>N295+N294</f>
        <v>32</v>
      </c>
      <c r="O296" s="2">
        <f>O295+O294</f>
        <v>6129.4</v>
      </c>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2.75">
      <c r="A298" s="3">
        <v>1981</v>
      </c>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2.75">
      <c r="A299" s="4" t="s">
        <v>0</v>
      </c>
      <c r="B299" s="4" t="s">
        <v>1</v>
      </c>
      <c r="C299" s="4" t="s">
        <v>2</v>
      </c>
      <c r="D299" s="4" t="s">
        <v>3</v>
      </c>
      <c r="E299" s="5" t="s">
        <v>4</v>
      </c>
      <c r="F299" s="4" t="s">
        <v>5</v>
      </c>
      <c r="G299" s="4" t="s">
        <v>6</v>
      </c>
      <c r="H299" s="4" t="s">
        <v>7</v>
      </c>
      <c r="I299" s="4" t="s">
        <v>8</v>
      </c>
      <c r="J299" s="5" t="s">
        <v>4</v>
      </c>
      <c r="K299" s="4" t="s">
        <v>9</v>
      </c>
      <c r="L299" s="4" t="s">
        <v>10</v>
      </c>
      <c r="M299" s="4" t="s">
        <v>11</v>
      </c>
      <c r="N299" s="4" t="s">
        <v>12</v>
      </c>
      <c r="O299" s="4" t="s">
        <v>13</v>
      </c>
      <c r="P299" s="4" t="s">
        <v>26</v>
      </c>
      <c r="Q299" s="4" t="s">
        <v>27</v>
      </c>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2.75">
      <c r="A300" s="6">
        <v>1</v>
      </c>
      <c r="B300" s="2" t="s">
        <v>14</v>
      </c>
      <c r="C300" s="7">
        <v>174.1</v>
      </c>
      <c r="D300" s="8">
        <v>0.2604166666666667</v>
      </c>
      <c r="E300"/>
      <c r="F300" s="6"/>
      <c r="G300" s="6" t="s">
        <v>15</v>
      </c>
      <c r="H300"/>
      <c r="I300" s="9">
        <f>C300/D300/24</f>
        <v>27.855999999999998</v>
      </c>
      <c r="J300"/>
      <c r="K300" s="2" t="s">
        <v>16</v>
      </c>
      <c r="L300" s="2" t="s">
        <v>29</v>
      </c>
      <c r="M300" s="2" t="s">
        <v>18</v>
      </c>
      <c r="N300" s="2">
        <v>7</v>
      </c>
      <c r="O300" s="2">
        <f>N300*C300</f>
        <v>1218.7</v>
      </c>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2.75">
      <c r="A301" s="6">
        <v>2</v>
      </c>
      <c r="B301" s="2" t="s">
        <v>19</v>
      </c>
      <c r="C301" s="7">
        <v>174.1</v>
      </c>
      <c r="D301" s="10">
        <v>0.2777777777777778</v>
      </c>
      <c r="E301"/>
      <c r="F301"/>
      <c r="G301" s="6" t="s">
        <v>15</v>
      </c>
      <c r="H301"/>
      <c r="I301" s="9">
        <f>C301/D301/24</f>
        <v>26.115</v>
      </c>
      <c r="J301"/>
      <c r="K301" s="2" t="s">
        <v>20</v>
      </c>
      <c r="L301" s="2" t="s">
        <v>29</v>
      </c>
      <c r="M301" s="2" t="s">
        <v>18</v>
      </c>
      <c r="N301" s="2">
        <v>7</v>
      </c>
      <c r="O301" s="2">
        <f>N301*C301</f>
        <v>1218.7</v>
      </c>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2.75">
      <c r="A302">
        <v>6</v>
      </c>
      <c r="B302" s="6" t="s">
        <v>56</v>
      </c>
      <c r="C302" s="6">
        <v>573</v>
      </c>
      <c r="D302" s="8">
        <v>0.4375</v>
      </c>
      <c r="E302" s="10">
        <v>0.4354166666666667</v>
      </c>
      <c r="F302" s="3" t="s">
        <v>57</v>
      </c>
      <c r="G302" s="6" t="s">
        <v>15</v>
      </c>
      <c r="H302" s="6"/>
      <c r="I302" s="9">
        <f>C302/D302/24</f>
        <v>54.57142857142858</v>
      </c>
      <c r="J302" s="9">
        <f>C302/E302/24</f>
        <v>54.83253588516746</v>
      </c>
      <c r="K302" s="2" t="s">
        <v>16</v>
      </c>
      <c r="L302" s="2" t="s">
        <v>29</v>
      </c>
      <c r="M302" s="2" t="s">
        <v>34</v>
      </c>
      <c r="N302" s="2">
        <v>7</v>
      </c>
      <c r="O302" s="2">
        <f>N302*C302</f>
        <v>4011</v>
      </c>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2.75">
      <c r="A303">
        <v>5</v>
      </c>
      <c r="B303" s="1" t="s">
        <v>59</v>
      </c>
      <c r="C303" s="6">
        <v>573</v>
      </c>
      <c r="D303" s="8">
        <v>0.4375</v>
      </c>
      <c r="E303" s="10">
        <v>0.43680555555555556</v>
      </c>
      <c r="F303" s="3" t="s">
        <v>57</v>
      </c>
      <c r="G303" s="6" t="s">
        <v>15</v>
      </c>
      <c r="H303" s="6"/>
      <c r="I303" s="9">
        <f>C303/D303/24</f>
        <v>54.57142857142858</v>
      </c>
      <c r="J303" s="9">
        <f>C303/E303/24</f>
        <v>54.65818759936408</v>
      </c>
      <c r="K303" s="2" t="s">
        <v>20</v>
      </c>
      <c r="L303" s="2" t="s">
        <v>29</v>
      </c>
      <c r="M303" s="2" t="s">
        <v>34</v>
      </c>
      <c r="N303" s="2">
        <v>7</v>
      </c>
      <c r="O303" s="2">
        <f>N303*C303</f>
        <v>4011</v>
      </c>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2.75">
      <c r="A304" t="s">
        <v>78</v>
      </c>
      <c r="B304" s="1" t="s">
        <v>60</v>
      </c>
      <c r="C304">
        <v>100</v>
      </c>
      <c r="D304" s="8">
        <v>0.1076388888888889</v>
      </c>
      <c r="E304" s="10">
        <v>0.08680555555555555</v>
      </c>
      <c r="F304" s="3"/>
      <c r="G304" s="6" t="s">
        <v>79</v>
      </c>
      <c r="H304" s="6"/>
      <c r="I304" s="9">
        <f>C304/D304/24</f>
        <v>38.70967741935484</v>
      </c>
      <c r="J304" s="9">
        <f>C304/E304/24</f>
        <v>48</v>
      </c>
      <c r="K304" s="2" t="s">
        <v>20</v>
      </c>
      <c r="L304" s="2" t="s">
        <v>29</v>
      </c>
      <c r="M304" s="2" t="s">
        <v>34</v>
      </c>
      <c r="N304" s="2">
        <v>2</v>
      </c>
      <c r="O304" s="2">
        <f>N304*C304</f>
        <v>200</v>
      </c>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2.75">
      <c r="A305" t="s">
        <v>78</v>
      </c>
      <c r="B305" s="1" t="s">
        <v>61</v>
      </c>
      <c r="C305">
        <v>100</v>
      </c>
      <c r="D305" s="8">
        <v>0.09027777777777778</v>
      </c>
      <c r="E305" s="10">
        <v>0.07291666666666667</v>
      </c>
      <c r="F305" s="3"/>
      <c r="G305" s="6" t="s">
        <v>79</v>
      </c>
      <c r="H305" s="6"/>
      <c r="I305" s="9">
        <f>C305/D305/24</f>
        <v>46.15384615384615</v>
      </c>
      <c r="J305" s="9">
        <f>C305/E305/24</f>
        <v>57.14285714285714</v>
      </c>
      <c r="K305" s="2" t="s">
        <v>16</v>
      </c>
      <c r="L305" s="2" t="s">
        <v>29</v>
      </c>
      <c r="M305" s="2" t="s">
        <v>34</v>
      </c>
      <c r="N305" s="2">
        <v>2</v>
      </c>
      <c r="O305" s="2">
        <f>N305*C305</f>
        <v>200</v>
      </c>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2.75">
      <c r="A306" s="1">
        <v>1</v>
      </c>
      <c r="B306" s="1" t="s">
        <v>60</v>
      </c>
      <c r="C306">
        <v>100</v>
      </c>
      <c r="D306" s="8">
        <v>0.12152777777777778</v>
      </c>
      <c r="E306" s="10">
        <v>0.08680555555555555</v>
      </c>
      <c r="F306" s="6"/>
      <c r="G306" s="15" t="s">
        <v>15</v>
      </c>
      <c r="H306" s="6"/>
      <c r="I306" s="9">
        <f>C306/D306/24</f>
        <v>34.285714285714285</v>
      </c>
      <c r="J306" s="9">
        <f>C306/E306/24</f>
        <v>48</v>
      </c>
      <c r="K306" s="2" t="s">
        <v>20</v>
      </c>
      <c r="L306" s="2" t="s">
        <v>29</v>
      </c>
      <c r="M306" s="2" t="s">
        <v>34</v>
      </c>
      <c r="N306">
        <v>7</v>
      </c>
      <c r="O306" s="2">
        <f>N306*C306</f>
        <v>700</v>
      </c>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2.75">
      <c r="A307" s="1">
        <v>3</v>
      </c>
      <c r="B307" s="1" t="s">
        <v>61</v>
      </c>
      <c r="C307">
        <v>100</v>
      </c>
      <c r="D307" s="8">
        <v>0.09375</v>
      </c>
      <c r="E307" s="10">
        <v>0.08680555555555555</v>
      </c>
      <c r="F307" s="6"/>
      <c r="G307" s="15" t="s">
        <v>15</v>
      </c>
      <c r="H307" s="6"/>
      <c r="I307" s="9">
        <f>C307/D307/24</f>
        <v>44.44444444444445</v>
      </c>
      <c r="J307" s="9">
        <f>C307/E307/24</f>
        <v>48</v>
      </c>
      <c r="K307" s="2" t="s">
        <v>16</v>
      </c>
      <c r="L307" s="2" t="s">
        <v>29</v>
      </c>
      <c r="M307" s="2" t="s">
        <v>34</v>
      </c>
      <c r="N307">
        <v>7</v>
      </c>
      <c r="O307" s="2">
        <f>N307*C307</f>
        <v>700</v>
      </c>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2.75">
      <c r="A308" s="1">
        <v>2</v>
      </c>
      <c r="B308" s="1" t="s">
        <v>69</v>
      </c>
      <c r="C308" s="20">
        <v>20</v>
      </c>
      <c r="D308" s="10">
        <v>0.024305555555555556</v>
      </c>
      <c r="E308"/>
      <c r="F308"/>
      <c r="G308" s="15" t="s">
        <v>15</v>
      </c>
      <c r="H308"/>
      <c r="I308" s="9">
        <f>C308/D308/24</f>
        <v>34.285714285714285</v>
      </c>
      <c r="J308"/>
      <c r="K308" s="2" t="s">
        <v>20</v>
      </c>
      <c r="L308" s="2" t="s">
        <v>29</v>
      </c>
      <c r="M308" s="2" t="s">
        <v>34</v>
      </c>
      <c r="N308">
        <v>7</v>
      </c>
      <c r="O308" s="2">
        <f>N308*C308</f>
        <v>140</v>
      </c>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2.75">
      <c r="A309" s="1">
        <v>1</v>
      </c>
      <c r="B309" s="1" t="s">
        <v>71</v>
      </c>
      <c r="C309" s="20">
        <v>20</v>
      </c>
      <c r="D309" s="10">
        <v>0.024305555555555556</v>
      </c>
      <c r="E309"/>
      <c r="F309"/>
      <c r="G309" s="15" t="s">
        <v>15</v>
      </c>
      <c r="H309"/>
      <c r="I309" s="9">
        <f>C309/D309/24</f>
        <v>34.285714285714285</v>
      </c>
      <c r="J309"/>
      <c r="K309" s="2" t="s">
        <v>16</v>
      </c>
      <c r="L309" s="2" t="s">
        <v>29</v>
      </c>
      <c r="M309" s="2" t="s">
        <v>34</v>
      </c>
      <c r="N309">
        <v>7</v>
      </c>
      <c r="O309" s="2">
        <f>N309*C309</f>
        <v>140</v>
      </c>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2.75">
      <c r="A310">
        <v>3</v>
      </c>
      <c r="B310" s="1" t="s">
        <v>69</v>
      </c>
      <c r="C310" s="20">
        <v>20</v>
      </c>
      <c r="D310" s="10">
        <v>0.024305555555555556</v>
      </c>
      <c r="E310"/>
      <c r="F310"/>
      <c r="G310" s="15" t="s">
        <v>73</v>
      </c>
      <c r="H310"/>
      <c r="I310" s="9">
        <f>C310/D310/24</f>
        <v>34.285714285714285</v>
      </c>
      <c r="J310"/>
      <c r="K310" s="2" t="s">
        <v>20</v>
      </c>
      <c r="L310" s="2" t="s">
        <v>29</v>
      </c>
      <c r="M310" s="2" t="s">
        <v>34</v>
      </c>
      <c r="N310">
        <v>5</v>
      </c>
      <c r="O310" s="2">
        <f>N310*C310</f>
        <v>100</v>
      </c>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2.75">
      <c r="A311">
        <v>2</v>
      </c>
      <c r="B311" s="1" t="s">
        <v>71</v>
      </c>
      <c r="C311" s="20">
        <v>20</v>
      </c>
      <c r="D311" s="10">
        <v>0.024305555555555556</v>
      </c>
      <c r="E311"/>
      <c r="F311"/>
      <c r="G311" s="15" t="s">
        <v>73</v>
      </c>
      <c r="H311"/>
      <c r="I311" s="9">
        <f>C311/D311/24</f>
        <v>34.285714285714285</v>
      </c>
      <c r="J311"/>
      <c r="K311" s="2" t="s">
        <v>16</v>
      </c>
      <c r="L311" s="2" t="s">
        <v>29</v>
      </c>
      <c r="M311" s="2" t="s">
        <v>34</v>
      </c>
      <c r="N311">
        <v>5</v>
      </c>
      <c r="O311" s="2">
        <f>N311*C311</f>
        <v>100</v>
      </c>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2:256" ht="12.75">
      <c r="B312"/>
      <c r="C312" s="6"/>
      <c r="D312" s="6"/>
      <c r="E312"/>
      <c r="F312" s="6"/>
      <c r="G312" s="6"/>
      <c r="H312" s="6"/>
      <c r="J312"/>
      <c r="L312" s="1"/>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2:256" ht="12.75">
      <c r="B313"/>
      <c r="C313"/>
      <c r="D313"/>
      <c r="E313"/>
      <c r="F313"/>
      <c r="G313"/>
      <c r="H313"/>
      <c r="I313"/>
      <c r="J313"/>
      <c r="K313"/>
      <c r="L313" s="2" t="s">
        <v>29</v>
      </c>
      <c r="M313" s="2" t="s">
        <v>18</v>
      </c>
      <c r="N313" s="2">
        <f>N301+N300</f>
        <v>14</v>
      </c>
      <c r="O313" s="2">
        <f>O301+O300</f>
        <v>2437.4</v>
      </c>
      <c r="P313" s="13">
        <f>N313/N315</f>
        <v>0.2</v>
      </c>
      <c r="Q313" s="13">
        <f>O313/O315</f>
        <v>0.19132769204201142</v>
      </c>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2:256" ht="12.75">
      <c r="B314"/>
      <c r="C314"/>
      <c r="D314" s="19"/>
      <c r="E314"/>
      <c r="F314"/>
      <c r="G314"/>
      <c r="H314"/>
      <c r="I314"/>
      <c r="J314"/>
      <c r="K314"/>
      <c r="L314" s="2" t="s">
        <v>29</v>
      </c>
      <c r="M314" s="2" t="s">
        <v>34</v>
      </c>
      <c r="N314" s="2">
        <f>SUM(N302:N311)</f>
        <v>56</v>
      </c>
      <c r="O314" s="2">
        <f>SUM(O302:O311)</f>
        <v>10302</v>
      </c>
      <c r="P314" s="13">
        <f>N314/N315</f>
        <v>0.8</v>
      </c>
      <c r="Q314" s="13">
        <f>O314/O315</f>
        <v>0.8086723079579886</v>
      </c>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2:256" ht="12.75">
      <c r="B315"/>
      <c r="E315"/>
      <c r="J315"/>
      <c r="K315"/>
      <c r="L315" s="2" t="s">
        <v>29</v>
      </c>
      <c r="M315" t="s">
        <v>25</v>
      </c>
      <c r="N315" s="2">
        <f>N314+N313</f>
        <v>70</v>
      </c>
      <c r="O315" s="2">
        <f>O314+O313</f>
        <v>12739.4</v>
      </c>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2.75">
      <c r="A317" s="3">
        <v>2002</v>
      </c>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17" ht="12.75">
      <c r="A318" s="4" t="s">
        <v>0</v>
      </c>
      <c r="B318" s="4" t="s">
        <v>1</v>
      </c>
      <c r="C318" s="4" t="s">
        <v>2</v>
      </c>
      <c r="D318" s="4" t="s">
        <v>3</v>
      </c>
      <c r="E318" s="5" t="s">
        <v>4</v>
      </c>
      <c r="F318" s="4" t="s">
        <v>5</v>
      </c>
      <c r="G318" s="4" t="s">
        <v>6</v>
      </c>
      <c r="H318" s="4" t="s">
        <v>7</v>
      </c>
      <c r="I318" s="4" t="s">
        <v>8</v>
      </c>
      <c r="J318" s="5" t="s">
        <v>4</v>
      </c>
      <c r="K318" s="4" t="s">
        <v>9</v>
      </c>
      <c r="L318" s="4" t="s">
        <v>10</v>
      </c>
      <c r="M318" s="4" t="s">
        <v>11</v>
      </c>
      <c r="N318" s="4" t="s">
        <v>12</v>
      </c>
      <c r="O318" s="4" t="s">
        <v>13</v>
      </c>
      <c r="P318" s="4" t="s">
        <v>26</v>
      </c>
      <c r="Q318" s="4" t="s">
        <v>27</v>
      </c>
    </row>
    <row r="319" spans="1:15" ht="12.75">
      <c r="A319"/>
      <c r="B319" s="1" t="s">
        <v>24</v>
      </c>
      <c r="C319" s="18">
        <v>178.23</v>
      </c>
      <c r="D319" s="8">
        <v>0.18055555555555555</v>
      </c>
      <c r="E319"/>
      <c r="F319" s="6" t="s">
        <v>80</v>
      </c>
      <c r="G319" s="11" t="s">
        <v>81</v>
      </c>
      <c r="H319" s="15" t="s">
        <v>82</v>
      </c>
      <c r="I319" s="9">
        <f>C319/D319/24</f>
        <v>41.13</v>
      </c>
      <c r="J319"/>
      <c r="K319" s="2" t="s">
        <v>20</v>
      </c>
      <c r="L319" s="1" t="s">
        <v>29</v>
      </c>
      <c r="M319" s="2" t="s">
        <v>34</v>
      </c>
      <c r="N319" s="2">
        <v>7</v>
      </c>
      <c r="O319" s="2">
        <f>N319*C319</f>
        <v>1247.61</v>
      </c>
    </row>
    <row r="320" spans="1:15" ht="12.75">
      <c r="A320"/>
      <c r="B320" s="1" t="s">
        <v>21</v>
      </c>
      <c r="C320" s="18">
        <v>178.23</v>
      </c>
      <c r="D320" s="8">
        <v>0.1840277777777778</v>
      </c>
      <c r="E320"/>
      <c r="F320" s="6" t="s">
        <v>80</v>
      </c>
      <c r="G320" s="11" t="s">
        <v>81</v>
      </c>
      <c r="H320" s="15" t="s">
        <v>82</v>
      </c>
      <c r="I320" s="9">
        <f>C320/D320/24</f>
        <v>40.35396226415094</v>
      </c>
      <c r="J320"/>
      <c r="K320" s="2" t="s">
        <v>16</v>
      </c>
      <c r="L320" s="1" t="s">
        <v>29</v>
      </c>
      <c r="M320" s="2" t="s">
        <v>34</v>
      </c>
      <c r="N320" s="2">
        <v>7</v>
      </c>
      <c r="O320" s="2">
        <f>N320*C320</f>
        <v>1247.61</v>
      </c>
    </row>
    <row r="321" spans="1:15" ht="12.75">
      <c r="A321" s="1">
        <v>2</v>
      </c>
      <c r="B321" s="6" t="s">
        <v>56</v>
      </c>
      <c r="C321" s="6">
        <v>573</v>
      </c>
      <c r="D321" s="8">
        <v>0.5</v>
      </c>
      <c r="E321"/>
      <c r="F321" s="6" t="s">
        <v>83</v>
      </c>
      <c r="G321" s="11" t="s">
        <v>84</v>
      </c>
      <c r="H321" s="15" t="s">
        <v>82</v>
      </c>
      <c r="I321" s="9">
        <f>C321/D321/24</f>
        <v>47.75</v>
      </c>
      <c r="J321"/>
      <c r="K321" s="2" t="s">
        <v>16</v>
      </c>
      <c r="L321" s="1" t="s">
        <v>29</v>
      </c>
      <c r="M321" s="2" t="s">
        <v>34</v>
      </c>
      <c r="N321" s="2">
        <v>7</v>
      </c>
      <c r="O321" s="2">
        <f>N321*C321</f>
        <v>4011</v>
      </c>
    </row>
    <row r="322" spans="1:15" ht="12.75">
      <c r="A322" s="1">
        <v>1</v>
      </c>
      <c r="B322" s="1" t="s">
        <v>59</v>
      </c>
      <c r="C322" s="6">
        <v>573</v>
      </c>
      <c r="D322" s="8">
        <v>0.5</v>
      </c>
      <c r="E322"/>
      <c r="F322" s="6" t="s">
        <v>83</v>
      </c>
      <c r="G322" s="11" t="s">
        <v>84</v>
      </c>
      <c r="H322" s="15" t="s">
        <v>82</v>
      </c>
      <c r="I322" s="9">
        <f>C322/D322/24</f>
        <v>47.75</v>
      </c>
      <c r="J322"/>
      <c r="K322" s="2" t="s">
        <v>20</v>
      </c>
      <c r="L322" s="1" t="s">
        <v>29</v>
      </c>
      <c r="M322" s="2" t="s">
        <v>34</v>
      </c>
      <c r="N322" s="2">
        <v>7</v>
      </c>
      <c r="O322" s="2">
        <f>N322*C322</f>
        <v>4011</v>
      </c>
    </row>
    <row r="323" spans="2:15" ht="12.75">
      <c r="B323" s="1" t="s">
        <v>60</v>
      </c>
      <c r="C323">
        <v>100</v>
      </c>
      <c r="D323" s="8">
        <v>0.10416666666666667</v>
      </c>
      <c r="E323"/>
      <c r="F323" s="6" t="s">
        <v>85</v>
      </c>
      <c r="G323" s="11" t="s">
        <v>81</v>
      </c>
      <c r="H323" s="15" t="s">
        <v>86</v>
      </c>
      <c r="I323" s="9">
        <f>C323/D323/24</f>
        <v>40</v>
      </c>
      <c r="J323"/>
      <c r="K323" s="2" t="s">
        <v>20</v>
      </c>
      <c r="L323" s="1" t="s">
        <v>29</v>
      </c>
      <c r="M323" s="2" t="s">
        <v>34</v>
      </c>
      <c r="N323" s="2">
        <v>7</v>
      </c>
      <c r="O323" s="2">
        <f>N323*C323</f>
        <v>700</v>
      </c>
    </row>
    <row r="324" spans="2:15" ht="12.75">
      <c r="B324" s="1" t="s">
        <v>61</v>
      </c>
      <c r="C324">
        <v>100</v>
      </c>
      <c r="D324" s="8">
        <v>0.11458333333333333</v>
      </c>
      <c r="E324"/>
      <c r="F324" s="6" t="s">
        <v>85</v>
      </c>
      <c r="G324" s="11" t="s">
        <v>81</v>
      </c>
      <c r="H324" s="15" t="s">
        <v>86</v>
      </c>
      <c r="I324" s="9">
        <f>C324/D324/24</f>
        <v>36.36363636363637</v>
      </c>
      <c r="J324"/>
      <c r="K324" s="2" t="s">
        <v>16</v>
      </c>
      <c r="L324" s="1" t="s">
        <v>29</v>
      </c>
      <c r="M324" s="2" t="s">
        <v>34</v>
      </c>
      <c r="N324" s="2">
        <v>7</v>
      </c>
      <c r="O324" s="2">
        <f>N324*C324</f>
        <v>700</v>
      </c>
    </row>
    <row r="325" spans="1:15" ht="12.75">
      <c r="A325" s="1">
        <v>4</v>
      </c>
      <c r="B325" s="6" t="s">
        <v>87</v>
      </c>
      <c r="C325" s="6">
        <v>88</v>
      </c>
      <c r="D325" s="8">
        <v>0.08333333333333333</v>
      </c>
      <c r="E325"/>
      <c r="F325" s="6" t="s">
        <v>88</v>
      </c>
      <c r="G325" s="21" t="s">
        <v>89</v>
      </c>
      <c r="H325" s="15" t="s">
        <v>90</v>
      </c>
      <c r="I325" s="9">
        <f>C325/D325/24</f>
        <v>44</v>
      </c>
      <c r="J325"/>
      <c r="K325" s="2" t="s">
        <v>16</v>
      </c>
      <c r="L325" s="1" t="s">
        <v>29</v>
      </c>
      <c r="M325" s="2" t="s">
        <v>34</v>
      </c>
      <c r="N325" s="2">
        <v>4</v>
      </c>
      <c r="O325" s="2">
        <f>N325*C325</f>
        <v>352</v>
      </c>
    </row>
    <row r="326" spans="1:15" ht="12.75">
      <c r="A326" s="1">
        <v>3</v>
      </c>
      <c r="B326" s="1" t="s">
        <v>91</v>
      </c>
      <c r="C326" s="6">
        <v>88</v>
      </c>
      <c r="D326" s="8">
        <v>0.09375</v>
      </c>
      <c r="E326"/>
      <c r="F326" s="6" t="s">
        <v>88</v>
      </c>
      <c r="G326" s="21" t="s">
        <v>89</v>
      </c>
      <c r="H326" s="15" t="s">
        <v>90</v>
      </c>
      <c r="I326" s="9">
        <f>C326/D326/24</f>
        <v>39.11111111111111</v>
      </c>
      <c r="J326"/>
      <c r="K326" s="2" t="s">
        <v>20</v>
      </c>
      <c r="L326" s="1" t="s">
        <v>29</v>
      </c>
      <c r="M326" s="2" t="s">
        <v>34</v>
      </c>
      <c r="N326" s="2">
        <v>4</v>
      </c>
      <c r="O326" s="2">
        <f>N326*C326</f>
        <v>352</v>
      </c>
    </row>
    <row r="327" spans="1:15" ht="12.75">
      <c r="A327" s="1">
        <v>10</v>
      </c>
      <c r="B327" s="6" t="s">
        <v>56</v>
      </c>
      <c r="C327" s="6">
        <v>573</v>
      </c>
      <c r="D327" s="10">
        <v>0.4791666666666667</v>
      </c>
      <c r="E327"/>
      <c r="F327" s="6" t="s">
        <v>92</v>
      </c>
      <c r="G327" s="15" t="s">
        <v>93</v>
      </c>
      <c r="H327" s="15" t="s">
        <v>90</v>
      </c>
      <c r="I327" s="9">
        <f>C327/D327/24</f>
        <v>49.82608695652174</v>
      </c>
      <c r="J327"/>
      <c r="K327" s="2" t="s">
        <v>16</v>
      </c>
      <c r="L327" s="1" t="s">
        <v>17</v>
      </c>
      <c r="M327" s="2" t="s">
        <v>34</v>
      </c>
      <c r="N327" s="2">
        <v>1</v>
      </c>
      <c r="O327" s="2">
        <f>N327*C327</f>
        <v>573</v>
      </c>
    </row>
    <row r="328" spans="1:15" ht="12.75">
      <c r="A328" s="1">
        <v>9</v>
      </c>
      <c r="B328" s="1" t="s">
        <v>59</v>
      </c>
      <c r="C328" s="6">
        <v>573</v>
      </c>
      <c r="D328" s="10">
        <v>0.4791666666666667</v>
      </c>
      <c r="E328"/>
      <c r="F328" s="6" t="s">
        <v>92</v>
      </c>
      <c r="G328" s="15" t="s">
        <v>94</v>
      </c>
      <c r="H328" s="15" t="s">
        <v>90</v>
      </c>
      <c r="I328" s="9">
        <f>C328/D328/24</f>
        <v>49.82608695652174</v>
      </c>
      <c r="J328"/>
      <c r="K328" s="2" t="s">
        <v>20</v>
      </c>
      <c r="L328" s="1" t="s">
        <v>17</v>
      </c>
      <c r="M328" s="2" t="s">
        <v>34</v>
      </c>
      <c r="N328" s="2">
        <v>1</v>
      </c>
      <c r="O328" s="2">
        <f>N328*C328</f>
        <v>573</v>
      </c>
    </row>
    <row r="329" spans="1:15" ht="12.75">
      <c r="A329" s="1">
        <v>10</v>
      </c>
      <c r="B329" s="1" t="s">
        <v>95</v>
      </c>
      <c r="C329" s="6">
        <v>269</v>
      </c>
      <c r="D329" s="10">
        <v>0.2013888888888889</v>
      </c>
      <c r="E329"/>
      <c r="F329" s="6" t="s">
        <v>96</v>
      </c>
      <c r="G329" s="15" t="s">
        <v>97</v>
      </c>
      <c r="H329" s="15" t="s">
        <v>90</v>
      </c>
      <c r="I329" s="9">
        <f>C329/D329/24</f>
        <v>55.6551724137931</v>
      </c>
      <c r="J329"/>
      <c r="K329" s="2" t="s">
        <v>16</v>
      </c>
      <c r="L329" s="1" t="s">
        <v>17</v>
      </c>
      <c r="M329" s="2" t="s">
        <v>34</v>
      </c>
      <c r="N329" s="2">
        <v>0.25</v>
      </c>
      <c r="O329" s="2">
        <f>N329*C329</f>
        <v>67.25</v>
      </c>
    </row>
    <row r="330" spans="1:15" ht="12.75">
      <c r="A330" s="1">
        <v>9</v>
      </c>
      <c r="B330" s="1" t="s">
        <v>98</v>
      </c>
      <c r="C330" s="6">
        <v>269</v>
      </c>
      <c r="D330" s="10">
        <v>0.21180555555555555</v>
      </c>
      <c r="E330"/>
      <c r="F330" s="6" t="s">
        <v>96</v>
      </c>
      <c r="G330" s="15" t="s">
        <v>97</v>
      </c>
      <c r="H330" s="15" t="s">
        <v>90</v>
      </c>
      <c r="I330" s="9">
        <f>C330/D330/24</f>
        <v>52.91803278688525</v>
      </c>
      <c r="J330"/>
      <c r="K330" s="2" t="s">
        <v>20</v>
      </c>
      <c r="L330" s="1" t="s">
        <v>17</v>
      </c>
      <c r="M330" s="2" t="s">
        <v>34</v>
      </c>
      <c r="N330" s="2">
        <v>0.25</v>
      </c>
      <c r="O330" s="2">
        <f>N330*C330</f>
        <v>67.25</v>
      </c>
    </row>
    <row r="331" spans="2:15" ht="12.75">
      <c r="B331" s="6"/>
      <c r="C331" s="6"/>
      <c r="D331" s="6"/>
      <c r="E331"/>
      <c r="F331" s="6"/>
      <c r="G331" s="6"/>
      <c r="H331" s="6"/>
      <c r="J331"/>
      <c r="L331" s="1"/>
      <c r="N331" s="4">
        <f>SUM(N319:N330)</f>
        <v>52.5</v>
      </c>
      <c r="O331" s="4">
        <f>SUM(O319:O330)</f>
        <v>13901.720000000001</v>
      </c>
    </row>
    <row r="332" spans="2:17" ht="12.75">
      <c r="B332"/>
      <c r="C332"/>
      <c r="D332"/>
      <c r="E332"/>
      <c r="F332"/>
      <c r="G332"/>
      <c r="H332"/>
      <c r="I332"/>
      <c r="J332"/>
      <c r="K332"/>
      <c r="L332"/>
      <c r="M332"/>
      <c r="N332"/>
      <c r="O332"/>
      <c r="P332"/>
      <c r="Q332"/>
    </row>
    <row r="333" spans="2:17" ht="12.75">
      <c r="B333"/>
      <c r="C333"/>
      <c r="D333"/>
      <c r="E333"/>
      <c r="F333"/>
      <c r="G333"/>
      <c r="H333"/>
      <c r="I333"/>
      <c r="J333"/>
      <c r="K333"/>
      <c r="L333" t="s">
        <v>29</v>
      </c>
      <c r="M333" s="2" t="s">
        <v>34</v>
      </c>
      <c r="N333" s="2">
        <f>SUM(N319:N326)</f>
        <v>50</v>
      </c>
      <c r="O333" s="2">
        <f>SUM(O319:O326)</f>
        <v>12621.220000000001</v>
      </c>
      <c r="P333" s="13">
        <f>N333/N331</f>
        <v>0.9523809523809523</v>
      </c>
      <c r="Q333" s="13">
        <f>O333/O331</f>
        <v>0.9078890957377936</v>
      </c>
    </row>
    <row r="334" spans="5:17" ht="12.75">
      <c r="E334"/>
      <c r="F334"/>
      <c r="G334"/>
      <c r="H334"/>
      <c r="J334"/>
      <c r="L334" s="1" t="s">
        <v>17</v>
      </c>
      <c r="M334" s="2" t="s">
        <v>34</v>
      </c>
      <c r="N334" s="2">
        <f>SUM(N327:N330)</f>
        <v>2.5</v>
      </c>
      <c r="O334" s="2">
        <f>SUM(O327:O330)</f>
        <v>1280.5</v>
      </c>
      <c r="P334" s="13">
        <f>N334/N331</f>
        <v>0.047619047619047616</v>
      </c>
      <c r="Q334" s="13">
        <f>O334/O331</f>
        <v>0.09211090426220639</v>
      </c>
    </row>
    <row r="335" spans="2:13" ht="12.75">
      <c r="B335"/>
      <c r="C335"/>
      <c r="D335"/>
      <c r="E335"/>
      <c r="F335"/>
      <c r="G335"/>
      <c r="H335"/>
      <c r="I335"/>
      <c r="J335"/>
      <c r="K335"/>
      <c r="L335"/>
      <c r="M335"/>
    </row>
    <row r="336" spans="1:256" ht="12.75">
      <c r="A336" s="3">
        <v>2005</v>
      </c>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17" ht="12.75">
      <c r="A337" s="4" t="s">
        <v>0</v>
      </c>
      <c r="B337" s="4" t="s">
        <v>1</v>
      </c>
      <c r="C337" s="4" t="s">
        <v>2</v>
      </c>
      <c r="D337" s="4" t="s">
        <v>3</v>
      </c>
      <c r="E337" s="5" t="s">
        <v>4</v>
      </c>
      <c r="F337" s="4" t="s">
        <v>5</v>
      </c>
      <c r="G337" s="4" t="s">
        <v>6</v>
      </c>
      <c r="H337" s="4" t="s">
        <v>7</v>
      </c>
      <c r="I337" s="4" t="s">
        <v>8</v>
      </c>
      <c r="J337" s="5" t="s">
        <v>4</v>
      </c>
      <c r="K337" s="4" t="s">
        <v>9</v>
      </c>
      <c r="L337" s="4" t="s">
        <v>10</v>
      </c>
      <c r="M337" s="4" t="s">
        <v>11</v>
      </c>
      <c r="N337" s="4" t="s">
        <v>12</v>
      </c>
      <c r="O337" s="4" t="s">
        <v>13</v>
      </c>
      <c r="P337" s="4" t="s">
        <v>26</v>
      </c>
      <c r="Q337" s="4" t="s">
        <v>27</v>
      </c>
    </row>
    <row r="338" spans="1:15" ht="12.75">
      <c r="A338"/>
      <c r="B338" s="1" t="s">
        <v>24</v>
      </c>
      <c r="C338" s="18">
        <v>178.23</v>
      </c>
      <c r="D338" s="8">
        <v>0.18055555555555555</v>
      </c>
      <c r="E338"/>
      <c r="F338" s="6" t="s">
        <v>80</v>
      </c>
      <c r="G338" s="2" t="s">
        <v>99</v>
      </c>
      <c r="H338" s="15" t="s">
        <v>82</v>
      </c>
      <c r="I338" s="9">
        <f>C338/D338/24</f>
        <v>41.13</v>
      </c>
      <c r="J338" s="9"/>
      <c r="K338" s="2" t="s">
        <v>20</v>
      </c>
      <c r="L338" s="1" t="s">
        <v>29</v>
      </c>
      <c r="M338" s="2" t="s">
        <v>34</v>
      </c>
      <c r="N338" s="2">
        <v>7</v>
      </c>
      <c r="O338" s="2">
        <f>N338*C338</f>
        <v>1247.61</v>
      </c>
    </row>
    <row r="339" spans="1:15" ht="12.75">
      <c r="A339"/>
      <c r="B339" s="1" t="s">
        <v>21</v>
      </c>
      <c r="C339" s="18">
        <v>178.23</v>
      </c>
      <c r="D339" s="10">
        <v>0.17708333333333334</v>
      </c>
      <c r="E339"/>
      <c r="F339" s="6" t="s">
        <v>80</v>
      </c>
      <c r="G339" s="2" t="s">
        <v>99</v>
      </c>
      <c r="H339" s="15" t="s">
        <v>82</v>
      </c>
      <c r="I339" s="9">
        <f>C339/D339/24</f>
        <v>41.93647058823529</v>
      </c>
      <c r="J339" s="9"/>
      <c r="K339" s="2" t="s">
        <v>16</v>
      </c>
      <c r="L339" s="1" t="s">
        <v>29</v>
      </c>
      <c r="M339" s="2" t="s">
        <v>34</v>
      </c>
      <c r="N339" s="2">
        <v>7</v>
      </c>
      <c r="O339" s="2">
        <f>N339*C339</f>
        <v>1247.61</v>
      </c>
    </row>
    <row r="340" spans="1:15" ht="12.75">
      <c r="A340" s="1">
        <v>2</v>
      </c>
      <c r="B340" s="6" t="s">
        <v>56</v>
      </c>
      <c r="C340" s="6">
        <v>573</v>
      </c>
      <c r="D340" s="10">
        <v>0.5</v>
      </c>
      <c r="E340"/>
      <c r="F340" s="6" t="s">
        <v>83</v>
      </c>
      <c r="G340" s="2" t="s">
        <v>100</v>
      </c>
      <c r="H340" s="15" t="s">
        <v>101</v>
      </c>
      <c r="I340" s="9">
        <f>C340/D340/24</f>
        <v>47.75</v>
      </c>
      <c r="J340" s="9"/>
      <c r="K340" s="2" t="s">
        <v>16</v>
      </c>
      <c r="L340" s="1" t="s">
        <v>29</v>
      </c>
      <c r="M340" s="2" t="s">
        <v>34</v>
      </c>
      <c r="N340" s="2">
        <v>7</v>
      </c>
      <c r="O340" s="2">
        <f>N340*C340</f>
        <v>4011</v>
      </c>
    </row>
    <row r="341" spans="1:15" ht="12.75">
      <c r="A341" s="1">
        <v>1</v>
      </c>
      <c r="B341" s="1" t="s">
        <v>59</v>
      </c>
      <c r="C341" s="6">
        <v>573</v>
      </c>
      <c r="D341" s="10">
        <v>0.5</v>
      </c>
      <c r="E341"/>
      <c r="F341" s="6" t="s">
        <v>83</v>
      </c>
      <c r="G341" s="2" t="s">
        <v>102</v>
      </c>
      <c r="H341" s="15" t="s">
        <v>101</v>
      </c>
      <c r="I341" s="9">
        <f>C341/D341/24</f>
        <v>47.75</v>
      </c>
      <c r="J341" s="9"/>
      <c r="K341" s="2" t="s">
        <v>20</v>
      </c>
      <c r="L341" s="1" t="s">
        <v>29</v>
      </c>
      <c r="M341" s="2" t="s">
        <v>34</v>
      </c>
      <c r="N341" s="2">
        <v>7</v>
      </c>
      <c r="O341" s="2">
        <f>N341*C341</f>
        <v>4011</v>
      </c>
    </row>
    <row r="342" spans="2:15" ht="12.75">
      <c r="B342" s="1" t="s">
        <v>103</v>
      </c>
      <c r="C342" s="1">
        <v>150</v>
      </c>
      <c r="D342" s="8">
        <v>0.21180555555555555</v>
      </c>
      <c r="E342" s="10">
        <f>D342-1/24*25/60</f>
        <v>0.19444444444444445</v>
      </c>
      <c r="F342" s="6" t="s">
        <v>85</v>
      </c>
      <c r="G342" s="2" t="s">
        <v>100</v>
      </c>
      <c r="H342" s="15" t="s">
        <v>82</v>
      </c>
      <c r="I342" s="9">
        <f>C342/D342/24</f>
        <v>29.508196721311478</v>
      </c>
      <c r="J342" s="9">
        <f>C342/E342/24</f>
        <v>32.142857142857146</v>
      </c>
      <c r="K342" s="2" t="s">
        <v>20</v>
      </c>
      <c r="L342" s="1" t="s">
        <v>29</v>
      </c>
      <c r="M342" s="2" t="s">
        <v>34</v>
      </c>
      <c r="N342" s="2">
        <v>7</v>
      </c>
      <c r="O342" s="2">
        <f>N342*C342</f>
        <v>1050</v>
      </c>
    </row>
    <row r="343" spans="2:15" ht="12.75">
      <c r="B343" s="1" t="s">
        <v>104</v>
      </c>
      <c r="C343" s="1">
        <v>150</v>
      </c>
      <c r="D343" s="8">
        <v>0.2465277777777778</v>
      </c>
      <c r="E343" s="10">
        <f>D343-1/24</f>
        <v>0.20486111111111113</v>
      </c>
      <c r="F343" s="6" t="s">
        <v>85</v>
      </c>
      <c r="G343" s="2" t="s">
        <v>100</v>
      </c>
      <c r="H343" s="15" t="s">
        <v>82</v>
      </c>
      <c r="I343" s="9">
        <f>C343/D343/24</f>
        <v>25.352112676056336</v>
      </c>
      <c r="J343" s="9">
        <f>C343/E343/24</f>
        <v>30.508474576271183</v>
      </c>
      <c r="K343" s="2" t="s">
        <v>16</v>
      </c>
      <c r="L343" s="1" t="s">
        <v>29</v>
      </c>
      <c r="M343" s="2" t="s">
        <v>34</v>
      </c>
      <c r="N343" s="2">
        <v>7</v>
      </c>
      <c r="O343" s="2">
        <f>N343*C343</f>
        <v>1050</v>
      </c>
    </row>
    <row r="344" spans="1:15" ht="12.75">
      <c r="A344" s="1">
        <v>4</v>
      </c>
      <c r="B344" s="6" t="s">
        <v>87</v>
      </c>
      <c r="C344" s="6">
        <v>88</v>
      </c>
      <c r="D344" s="8">
        <v>0.08333333333333333</v>
      </c>
      <c r="E344"/>
      <c r="F344" s="6" t="s">
        <v>88</v>
      </c>
      <c r="G344" s="2" t="s">
        <v>105</v>
      </c>
      <c r="H344" s="15" t="s">
        <v>90</v>
      </c>
      <c r="I344" s="9">
        <f>C344/D344/24</f>
        <v>44</v>
      </c>
      <c r="J344" s="9"/>
      <c r="K344" s="2" t="s">
        <v>16</v>
      </c>
      <c r="L344" s="1" t="s">
        <v>29</v>
      </c>
      <c r="M344" s="2" t="s">
        <v>34</v>
      </c>
      <c r="N344" s="2">
        <v>4</v>
      </c>
      <c r="O344" s="2">
        <f>N344*C344</f>
        <v>352</v>
      </c>
    </row>
    <row r="345" spans="1:15" ht="12.75">
      <c r="A345" s="1">
        <v>3</v>
      </c>
      <c r="B345" s="1" t="s">
        <v>91</v>
      </c>
      <c r="C345" s="6">
        <v>88</v>
      </c>
      <c r="D345" s="8">
        <v>0.1076388888888889</v>
      </c>
      <c r="E345"/>
      <c r="F345" s="6" t="s">
        <v>88</v>
      </c>
      <c r="G345" s="2" t="s">
        <v>105</v>
      </c>
      <c r="H345" s="15" t="s">
        <v>90</v>
      </c>
      <c r="I345" s="9">
        <f>C345/D345/24</f>
        <v>34.064516129032256</v>
      </c>
      <c r="J345" s="9"/>
      <c r="K345" s="2" t="s">
        <v>20</v>
      </c>
      <c r="L345" s="1" t="s">
        <v>29</v>
      </c>
      <c r="M345" s="2" t="s">
        <v>34</v>
      </c>
      <c r="N345" s="2">
        <v>4</v>
      </c>
      <c r="O345" s="2">
        <f>N345*C345</f>
        <v>352</v>
      </c>
    </row>
    <row r="346" spans="1:15" ht="12.75">
      <c r="A346" s="1">
        <v>10</v>
      </c>
      <c r="B346" s="6" t="s">
        <v>56</v>
      </c>
      <c r="C346" s="6">
        <v>573</v>
      </c>
      <c r="D346" s="10">
        <v>0.46875</v>
      </c>
      <c r="E346"/>
      <c r="F346" s="6" t="s">
        <v>92</v>
      </c>
      <c r="G346" s="11" t="s">
        <v>106</v>
      </c>
      <c r="H346" s="15" t="s">
        <v>90</v>
      </c>
      <c r="I346" s="9">
        <f>C346/D346/24</f>
        <v>50.93333333333334</v>
      </c>
      <c r="J346" s="9"/>
      <c r="K346" s="2" t="s">
        <v>16</v>
      </c>
      <c r="L346" s="1" t="s">
        <v>17</v>
      </c>
      <c r="M346" s="2" t="s">
        <v>34</v>
      </c>
      <c r="N346" s="2">
        <v>1</v>
      </c>
      <c r="O346" s="2">
        <f>N346*C346</f>
        <v>573</v>
      </c>
    </row>
    <row r="347" spans="1:15" ht="12.75">
      <c r="A347" s="1">
        <v>9</v>
      </c>
      <c r="B347" s="1" t="s">
        <v>59</v>
      </c>
      <c r="C347" s="6">
        <v>573</v>
      </c>
      <c r="D347" s="10">
        <v>0.46875</v>
      </c>
      <c r="E347"/>
      <c r="F347" s="6" t="s">
        <v>92</v>
      </c>
      <c r="G347" s="11" t="s">
        <v>107</v>
      </c>
      <c r="H347" s="15" t="s">
        <v>90</v>
      </c>
      <c r="I347" s="9">
        <f>C347/D347/24</f>
        <v>50.93333333333334</v>
      </c>
      <c r="J347" s="9"/>
      <c r="K347" s="2" t="s">
        <v>20</v>
      </c>
      <c r="L347" s="1" t="s">
        <v>17</v>
      </c>
      <c r="M347" s="2" t="s">
        <v>34</v>
      </c>
      <c r="N347" s="2">
        <v>1</v>
      </c>
      <c r="O347" s="2">
        <f>N347*C347</f>
        <v>573</v>
      </c>
    </row>
    <row r="348" spans="1:15" ht="12.75">
      <c r="A348" s="1">
        <v>10</v>
      </c>
      <c r="B348" s="1" t="s">
        <v>95</v>
      </c>
      <c r="C348" s="6">
        <v>269</v>
      </c>
      <c r="D348" s="10">
        <v>0.2013888888888889</v>
      </c>
      <c r="E348"/>
      <c r="F348" s="6" t="s">
        <v>96</v>
      </c>
      <c r="G348" s="11" t="s">
        <v>108</v>
      </c>
      <c r="H348" s="15" t="s">
        <v>90</v>
      </c>
      <c r="I348" s="9">
        <f>C348/D348/24</f>
        <v>55.6551724137931</v>
      </c>
      <c r="J348" s="9"/>
      <c r="K348" s="2" t="s">
        <v>16</v>
      </c>
      <c r="L348" s="1" t="s">
        <v>17</v>
      </c>
      <c r="M348" s="2" t="s">
        <v>34</v>
      </c>
      <c r="N348" s="2">
        <v>0.25</v>
      </c>
      <c r="O348" s="2">
        <f>N348*C348</f>
        <v>67.25</v>
      </c>
    </row>
    <row r="349" spans="1:15" ht="12.75">
      <c r="A349" s="1">
        <v>9</v>
      </c>
      <c r="B349" s="1" t="s">
        <v>98</v>
      </c>
      <c r="C349" s="6">
        <v>269</v>
      </c>
      <c r="D349" s="10">
        <v>0.21180555555555555</v>
      </c>
      <c r="E349"/>
      <c r="F349" s="6" t="s">
        <v>96</v>
      </c>
      <c r="G349" s="11" t="s">
        <v>108</v>
      </c>
      <c r="H349" s="15" t="s">
        <v>90</v>
      </c>
      <c r="I349" s="9">
        <f>C349/D349/24</f>
        <v>52.91803278688525</v>
      </c>
      <c r="J349" s="9"/>
      <c r="K349" s="2" t="s">
        <v>20</v>
      </c>
      <c r="L349" s="1" t="s">
        <v>17</v>
      </c>
      <c r="M349" s="2" t="s">
        <v>34</v>
      </c>
      <c r="N349" s="2">
        <v>0.25</v>
      </c>
      <c r="O349" s="2">
        <f>N349*C349</f>
        <v>67.25</v>
      </c>
    </row>
    <row r="350" spans="2:15" ht="12.75">
      <c r="B350" s="6"/>
      <c r="C350" s="6"/>
      <c r="D350" s="6"/>
      <c r="E350"/>
      <c r="F350" s="6"/>
      <c r="G350" s="6"/>
      <c r="H350" s="6"/>
      <c r="J350"/>
      <c r="L350" s="1"/>
      <c r="N350" s="4">
        <f>SUM(N338:N349)</f>
        <v>52.5</v>
      </c>
      <c r="O350" s="4">
        <f>SUM(O338:O349)</f>
        <v>14601.720000000001</v>
      </c>
    </row>
    <row r="351" spans="2:17" ht="12.75">
      <c r="B351"/>
      <c r="C351"/>
      <c r="D351"/>
      <c r="E351"/>
      <c r="F351"/>
      <c r="G351"/>
      <c r="H351"/>
      <c r="I351"/>
      <c r="J351"/>
      <c r="K351"/>
      <c r="L351"/>
      <c r="M351"/>
      <c r="N351"/>
      <c r="O351"/>
      <c r="P351"/>
      <c r="Q351"/>
    </row>
    <row r="352" spans="2:17" ht="12.75">
      <c r="B352"/>
      <c r="C352"/>
      <c r="D352"/>
      <c r="E352"/>
      <c r="F352"/>
      <c r="G352"/>
      <c r="H352"/>
      <c r="I352"/>
      <c r="J352"/>
      <c r="K352"/>
      <c r="L352" t="s">
        <v>29</v>
      </c>
      <c r="M352" s="2" t="s">
        <v>34</v>
      </c>
      <c r="N352" s="2">
        <f>SUM(N338:N345)</f>
        <v>50</v>
      </c>
      <c r="O352" s="2">
        <f>SUM(O338:O345)</f>
        <v>13321.220000000001</v>
      </c>
      <c r="P352" s="13">
        <f>N352/N350</f>
        <v>0.9523809523809523</v>
      </c>
      <c r="Q352" s="13">
        <f>O352/O350</f>
        <v>0.9123048517571902</v>
      </c>
    </row>
    <row r="353" spans="3:17" ht="12.75">
      <c r="C353"/>
      <c r="D353"/>
      <c r="E353"/>
      <c r="F353"/>
      <c r="G353"/>
      <c r="H353"/>
      <c r="J353"/>
      <c r="L353" s="1" t="s">
        <v>17</v>
      </c>
      <c r="M353" s="2" t="s">
        <v>34</v>
      </c>
      <c r="N353" s="2">
        <f>SUM(N346:N349)</f>
        <v>2.5</v>
      </c>
      <c r="O353" s="2">
        <f>SUM(O346:O349)</f>
        <v>1280.5</v>
      </c>
      <c r="P353" s="13">
        <f>N353/N350</f>
        <v>0.047619047619047616</v>
      </c>
      <c r="Q353" s="13">
        <f>O353/O350</f>
        <v>0.08769514824280975</v>
      </c>
    </row>
    <row r="354" spans="2:13" ht="12.75">
      <c r="B354"/>
      <c r="C354"/>
      <c r="D354"/>
      <c r="E354"/>
      <c r="F354"/>
      <c r="G354"/>
      <c r="H354"/>
      <c r="I354"/>
      <c r="J354"/>
      <c r="K354"/>
      <c r="L354"/>
      <c r="M354"/>
    </row>
    <row r="355" spans="1:256" ht="12.75">
      <c r="A355" s="3">
        <v>2006</v>
      </c>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17" ht="12.75">
      <c r="A356" s="4" t="s">
        <v>0</v>
      </c>
      <c r="B356" s="4" t="s">
        <v>1</v>
      </c>
      <c r="C356" s="4" t="s">
        <v>2</v>
      </c>
      <c r="D356" s="4" t="s">
        <v>3</v>
      </c>
      <c r="E356" s="5" t="s">
        <v>4</v>
      </c>
      <c r="F356" s="4" t="s">
        <v>5</v>
      </c>
      <c r="G356" s="4" t="s">
        <v>6</v>
      </c>
      <c r="H356" s="4" t="s">
        <v>7</v>
      </c>
      <c r="I356" s="4" t="s">
        <v>8</v>
      </c>
      <c r="J356" s="5" t="s">
        <v>4</v>
      </c>
      <c r="K356" s="4" t="s">
        <v>9</v>
      </c>
      <c r="L356" s="4" t="s">
        <v>10</v>
      </c>
      <c r="M356" s="4" t="s">
        <v>11</v>
      </c>
      <c r="N356" s="4" t="s">
        <v>12</v>
      </c>
      <c r="O356" s="4" t="s">
        <v>13</v>
      </c>
      <c r="P356" s="4" t="s">
        <v>26</v>
      </c>
      <c r="Q356" s="4" t="s">
        <v>27</v>
      </c>
    </row>
    <row r="357" spans="1:15" ht="12.75">
      <c r="A357"/>
      <c r="B357" s="1" t="s">
        <v>24</v>
      </c>
      <c r="C357" s="18">
        <v>178.23</v>
      </c>
      <c r="D357" s="8">
        <v>0.18055555555555555</v>
      </c>
      <c r="E357"/>
      <c r="F357" s="6" t="s">
        <v>80</v>
      </c>
      <c r="G357" t="s">
        <v>109</v>
      </c>
      <c r="H357" s="15" t="s">
        <v>82</v>
      </c>
      <c r="I357" s="9">
        <f>C357/D357/24</f>
        <v>41.13</v>
      </c>
      <c r="J357" s="9"/>
      <c r="K357" s="2" t="s">
        <v>20</v>
      </c>
      <c r="L357" s="1" t="s">
        <v>29</v>
      </c>
      <c r="M357" s="2" t="s">
        <v>34</v>
      </c>
      <c r="N357" s="2">
        <v>7</v>
      </c>
      <c r="O357" s="2">
        <f>N357*C357</f>
        <v>1247.61</v>
      </c>
    </row>
    <row r="358" spans="1:15" ht="12.75">
      <c r="A358"/>
      <c r="B358" s="1" t="s">
        <v>21</v>
      </c>
      <c r="C358" s="18">
        <v>178.23</v>
      </c>
      <c r="D358" s="8">
        <v>0.17708333333333334</v>
      </c>
      <c r="E358"/>
      <c r="F358" s="6" t="s">
        <v>80</v>
      </c>
      <c r="G358" t="s">
        <v>109</v>
      </c>
      <c r="H358" s="15" t="s">
        <v>82</v>
      </c>
      <c r="I358" s="9">
        <f>C358/D358/24</f>
        <v>41.93647058823529</v>
      </c>
      <c r="J358" s="9"/>
      <c r="K358" s="2" t="s">
        <v>16</v>
      </c>
      <c r="L358" s="1" t="s">
        <v>29</v>
      </c>
      <c r="M358" s="2" t="s">
        <v>34</v>
      </c>
      <c r="N358" s="2">
        <v>7</v>
      </c>
      <c r="O358" s="2">
        <f>N358*C358</f>
        <v>1247.61</v>
      </c>
    </row>
    <row r="359" spans="1:15" ht="12.75">
      <c r="A359" s="1">
        <v>2</v>
      </c>
      <c r="B359" s="6" t="s">
        <v>56</v>
      </c>
      <c r="C359" s="6">
        <v>573</v>
      </c>
      <c r="D359" s="10">
        <v>0.4895833333333333</v>
      </c>
      <c r="E359"/>
      <c r="F359" s="6" t="s">
        <v>83</v>
      </c>
      <c r="G359" t="s">
        <v>110</v>
      </c>
      <c r="H359" s="15" t="s">
        <v>101</v>
      </c>
      <c r="I359" s="9">
        <f>C359/D359/24</f>
        <v>48.76595744680851</v>
      </c>
      <c r="J359" s="9"/>
      <c r="K359" s="2" t="s">
        <v>16</v>
      </c>
      <c r="L359" s="1" t="s">
        <v>29</v>
      </c>
      <c r="M359" s="2" t="s">
        <v>34</v>
      </c>
      <c r="N359" s="2">
        <v>7</v>
      </c>
      <c r="O359" s="2">
        <f>N359*C359</f>
        <v>4011</v>
      </c>
    </row>
    <row r="360" spans="1:15" ht="12.75">
      <c r="A360" s="1">
        <v>1</v>
      </c>
      <c r="B360" s="1" t="s">
        <v>59</v>
      </c>
      <c r="C360" s="6">
        <v>573</v>
      </c>
      <c r="D360" s="10">
        <v>0.4895833333333333</v>
      </c>
      <c r="E360"/>
      <c r="F360" s="6" t="s">
        <v>83</v>
      </c>
      <c r="G360" t="s">
        <v>110</v>
      </c>
      <c r="H360" s="15" t="s">
        <v>101</v>
      </c>
      <c r="I360" s="9">
        <f>C360/D360/24</f>
        <v>48.76595744680851</v>
      </c>
      <c r="J360" s="9"/>
      <c r="K360" s="2" t="s">
        <v>20</v>
      </c>
      <c r="L360" s="1" t="s">
        <v>29</v>
      </c>
      <c r="M360" s="2" t="s">
        <v>34</v>
      </c>
      <c r="N360" s="2">
        <v>7</v>
      </c>
      <c r="O360" s="2">
        <f>N360*C360</f>
        <v>4011</v>
      </c>
    </row>
    <row r="361" spans="2:15" ht="12.75">
      <c r="B361" s="1" t="s">
        <v>103</v>
      </c>
      <c r="C361" s="1">
        <v>150</v>
      </c>
      <c r="D361" s="10">
        <v>0.21180555555555555</v>
      </c>
      <c r="E361" s="10">
        <f>D361-1/24*25/60</f>
        <v>0.19444444444444445</v>
      </c>
      <c r="F361" s="6" t="s">
        <v>85</v>
      </c>
      <c r="G361" t="s">
        <v>111</v>
      </c>
      <c r="H361" s="15" t="s">
        <v>82</v>
      </c>
      <c r="I361" s="9">
        <f>C361/D361/24</f>
        <v>29.508196721311478</v>
      </c>
      <c r="J361" s="9">
        <f>C361/E361/24</f>
        <v>32.142857142857146</v>
      </c>
      <c r="K361" s="2" t="s">
        <v>20</v>
      </c>
      <c r="L361" s="1" t="s">
        <v>29</v>
      </c>
      <c r="M361" s="2" t="s">
        <v>34</v>
      </c>
      <c r="N361" s="2">
        <v>7</v>
      </c>
      <c r="O361" s="2">
        <f>N361*C361</f>
        <v>1050</v>
      </c>
    </row>
    <row r="362" spans="2:15" ht="12.75">
      <c r="B362" s="1" t="s">
        <v>104</v>
      </c>
      <c r="C362" s="1">
        <v>150</v>
      </c>
      <c r="D362" s="10">
        <v>0.2465277777777778</v>
      </c>
      <c r="E362" s="10">
        <f>D362-1/24</f>
        <v>0.20486111111111113</v>
      </c>
      <c r="F362" s="6" t="s">
        <v>85</v>
      </c>
      <c r="G362" t="s">
        <v>111</v>
      </c>
      <c r="H362" s="15" t="s">
        <v>82</v>
      </c>
      <c r="I362" s="9">
        <f>C362/D362/24</f>
        <v>25.352112676056336</v>
      </c>
      <c r="J362" s="9">
        <f>C362/E362/24</f>
        <v>30.508474576271183</v>
      </c>
      <c r="K362" s="2" t="s">
        <v>16</v>
      </c>
      <c r="L362" s="1" t="s">
        <v>29</v>
      </c>
      <c r="M362" s="2" t="s">
        <v>34</v>
      </c>
      <c r="N362" s="2">
        <v>7</v>
      </c>
      <c r="O362" s="2">
        <f>N362*C362</f>
        <v>1050</v>
      </c>
    </row>
    <row r="363" spans="1:15" ht="12.75">
      <c r="A363" s="1">
        <v>4</v>
      </c>
      <c r="B363" s="6" t="s">
        <v>87</v>
      </c>
      <c r="C363" s="6">
        <v>88</v>
      </c>
      <c r="D363" s="10">
        <v>0.08333333333333333</v>
      </c>
      <c r="E363"/>
      <c r="F363" s="6" t="s">
        <v>88</v>
      </c>
      <c r="G363" t="s">
        <v>112</v>
      </c>
      <c r="H363" s="15" t="s">
        <v>90</v>
      </c>
      <c r="I363" s="9">
        <f>C363/D363/24</f>
        <v>44</v>
      </c>
      <c r="J363" s="9"/>
      <c r="K363" s="2" t="s">
        <v>16</v>
      </c>
      <c r="L363" s="1" t="s">
        <v>29</v>
      </c>
      <c r="M363" s="2" t="s">
        <v>34</v>
      </c>
      <c r="N363" s="2">
        <v>4</v>
      </c>
      <c r="O363" s="2">
        <f>N363*C363</f>
        <v>352</v>
      </c>
    </row>
    <row r="364" spans="1:15" ht="12.75">
      <c r="A364" s="1">
        <v>3</v>
      </c>
      <c r="B364" s="1" t="s">
        <v>91</v>
      </c>
      <c r="C364" s="6">
        <v>88</v>
      </c>
      <c r="D364" s="10">
        <v>0.09375</v>
      </c>
      <c r="E364"/>
      <c r="F364" s="6" t="s">
        <v>88</v>
      </c>
      <c r="G364" s="22" t="s">
        <v>112</v>
      </c>
      <c r="H364" s="15" t="s">
        <v>90</v>
      </c>
      <c r="I364" s="9">
        <f>C364/D364/24</f>
        <v>39.11111111111111</v>
      </c>
      <c r="J364" s="9"/>
      <c r="K364" s="2" t="s">
        <v>20</v>
      </c>
      <c r="L364" s="1" t="s">
        <v>29</v>
      </c>
      <c r="M364" s="2" t="s">
        <v>34</v>
      </c>
      <c r="N364" s="2">
        <v>4</v>
      </c>
      <c r="O364" s="2">
        <f>N364*C364</f>
        <v>352</v>
      </c>
    </row>
    <row r="365" spans="1:15" ht="12.75">
      <c r="A365" s="1">
        <v>10</v>
      </c>
      <c r="B365" s="6" t="s">
        <v>56</v>
      </c>
      <c r="C365" s="6">
        <v>573</v>
      </c>
      <c r="D365" s="10">
        <v>0.46875</v>
      </c>
      <c r="E365"/>
      <c r="F365" s="6" t="s">
        <v>92</v>
      </c>
      <c r="G365" s="23" t="s">
        <v>113</v>
      </c>
      <c r="H365" s="15" t="s">
        <v>90</v>
      </c>
      <c r="I365" s="9">
        <f>C365/D365/24</f>
        <v>50.93333333333334</v>
      </c>
      <c r="J365" s="9"/>
      <c r="K365" s="2" t="s">
        <v>16</v>
      </c>
      <c r="L365" s="1" t="s">
        <v>17</v>
      </c>
      <c r="M365" s="2" t="s">
        <v>34</v>
      </c>
      <c r="N365" s="2">
        <v>1</v>
      </c>
      <c r="O365" s="2">
        <f>N365*C365</f>
        <v>573</v>
      </c>
    </row>
    <row r="366" spans="1:15" ht="12.75">
      <c r="A366" s="1">
        <v>9</v>
      </c>
      <c r="B366" s="1" t="s">
        <v>59</v>
      </c>
      <c r="C366" s="6">
        <v>573</v>
      </c>
      <c r="D366" s="10">
        <v>0.46875</v>
      </c>
      <c r="E366"/>
      <c r="F366" s="6" t="s">
        <v>92</v>
      </c>
      <c r="G366" s="23" t="s">
        <v>114</v>
      </c>
      <c r="H366" s="15" t="s">
        <v>90</v>
      </c>
      <c r="I366" s="9">
        <f>C366/D366/24</f>
        <v>50.93333333333334</v>
      </c>
      <c r="J366" s="9"/>
      <c r="K366" s="2" t="s">
        <v>20</v>
      </c>
      <c r="L366" s="1" t="s">
        <v>17</v>
      </c>
      <c r="M366" s="2" t="s">
        <v>34</v>
      </c>
      <c r="N366" s="2">
        <v>1</v>
      </c>
      <c r="O366" s="2">
        <f>N366*C366</f>
        <v>573</v>
      </c>
    </row>
    <row r="367" spans="1:15" ht="12.75">
      <c r="A367" s="1">
        <v>10</v>
      </c>
      <c r="B367" s="1" t="s">
        <v>95</v>
      </c>
      <c r="C367" s="6">
        <v>269</v>
      </c>
      <c r="D367" s="10">
        <v>0.21180555555555555</v>
      </c>
      <c r="E367"/>
      <c r="F367" s="6" t="s">
        <v>96</v>
      </c>
      <c r="G367" s="11" t="s">
        <v>115</v>
      </c>
      <c r="H367" s="15" t="s">
        <v>90</v>
      </c>
      <c r="I367" s="9">
        <f>C367/D367/24</f>
        <v>52.91803278688525</v>
      </c>
      <c r="J367" s="9"/>
      <c r="K367" s="2" t="s">
        <v>16</v>
      </c>
      <c r="L367" s="1" t="s">
        <v>17</v>
      </c>
      <c r="M367" s="2" t="s">
        <v>34</v>
      </c>
      <c r="N367" s="2">
        <v>0.25</v>
      </c>
      <c r="O367" s="2">
        <f>N367*C367</f>
        <v>67.25</v>
      </c>
    </row>
    <row r="368" spans="1:15" ht="12.75">
      <c r="A368" s="1">
        <v>9</v>
      </c>
      <c r="B368" s="1" t="s">
        <v>98</v>
      </c>
      <c r="C368" s="6">
        <v>269</v>
      </c>
      <c r="D368" s="10">
        <v>0.21180555555555555</v>
      </c>
      <c r="E368"/>
      <c r="F368" s="6" t="s">
        <v>96</v>
      </c>
      <c r="G368" s="11" t="s">
        <v>115</v>
      </c>
      <c r="H368" s="15" t="s">
        <v>90</v>
      </c>
      <c r="I368" s="9">
        <f>C368/D368/24</f>
        <v>52.91803278688525</v>
      </c>
      <c r="J368" s="9"/>
      <c r="K368" s="2" t="s">
        <v>20</v>
      </c>
      <c r="L368" s="1" t="s">
        <v>17</v>
      </c>
      <c r="M368" s="2" t="s">
        <v>34</v>
      </c>
      <c r="N368" s="2">
        <v>0.25</v>
      </c>
      <c r="O368" s="2">
        <f>N368*C368</f>
        <v>67.25</v>
      </c>
    </row>
    <row r="369" spans="2:15" ht="12.75">
      <c r="B369" s="6"/>
      <c r="C369" s="6"/>
      <c r="D369" s="6"/>
      <c r="E369"/>
      <c r="F369" s="6"/>
      <c r="G369"/>
      <c r="H369" s="6"/>
      <c r="J369"/>
      <c r="L369" s="1"/>
      <c r="N369" s="4">
        <f>SUM(N357:N368)</f>
        <v>52.5</v>
      </c>
      <c r="O369" s="4">
        <f>SUM(O357:O368)</f>
        <v>14601.720000000001</v>
      </c>
    </row>
    <row r="370" spans="2:17" ht="12.75">
      <c r="B370"/>
      <c r="C370"/>
      <c r="D370"/>
      <c r="E370"/>
      <c r="F370"/>
      <c r="G370"/>
      <c r="H370"/>
      <c r="I370"/>
      <c r="J370"/>
      <c r="K370"/>
      <c r="L370"/>
      <c r="M370"/>
      <c r="N370"/>
      <c r="O370"/>
      <c r="P370"/>
      <c r="Q370"/>
    </row>
    <row r="371" spans="2:17" ht="12.75">
      <c r="B371"/>
      <c r="C371"/>
      <c r="D371"/>
      <c r="E371"/>
      <c r="F371"/>
      <c r="G371"/>
      <c r="H371"/>
      <c r="I371"/>
      <c r="J371"/>
      <c r="K371"/>
      <c r="L371" t="s">
        <v>29</v>
      </c>
      <c r="M371" s="2" t="s">
        <v>34</v>
      </c>
      <c r="N371" s="2">
        <f>SUM(N357:N364)</f>
        <v>50</v>
      </c>
      <c r="O371" s="2">
        <f>SUM(O357:O364)</f>
        <v>13321.220000000001</v>
      </c>
      <c r="P371" s="13">
        <f>N371/N369</f>
        <v>0.9523809523809523</v>
      </c>
      <c r="Q371" s="13">
        <f>O371/O369</f>
        <v>0.9123048517571902</v>
      </c>
    </row>
    <row r="372" spans="5:17" ht="12.75">
      <c r="E372"/>
      <c r="G372"/>
      <c r="H372"/>
      <c r="J372"/>
      <c r="L372" s="1" t="s">
        <v>17</v>
      </c>
      <c r="M372" s="2" t="s">
        <v>34</v>
      </c>
      <c r="N372" s="2">
        <f>SUM(N365:N368)</f>
        <v>2.5</v>
      </c>
      <c r="O372" s="2">
        <f>SUM(O365:O368)</f>
        <v>1280.5</v>
      </c>
      <c r="P372" s="13">
        <f>N372/N369</f>
        <v>0.047619047619047616</v>
      </c>
      <c r="Q372" s="13">
        <f>O372/O369</f>
        <v>0.08769514824280975</v>
      </c>
    </row>
    <row r="373" spans="2:13" ht="12.75">
      <c r="B373"/>
      <c r="C373"/>
      <c r="D373"/>
      <c r="E373"/>
      <c r="F373"/>
      <c r="G373"/>
      <c r="H373"/>
      <c r="I373"/>
      <c r="J373"/>
      <c r="K373"/>
      <c r="L373"/>
      <c r="M373"/>
    </row>
    <row r="374" spans="1:256" ht="12.75">
      <c r="A374" s="3">
        <v>2007</v>
      </c>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1:17" ht="12.75">
      <c r="A375" s="4" t="s">
        <v>0</v>
      </c>
      <c r="B375" s="4" t="s">
        <v>1</v>
      </c>
      <c r="C375" s="4" t="s">
        <v>2</v>
      </c>
      <c r="D375" s="4" t="s">
        <v>3</v>
      </c>
      <c r="E375" s="5" t="s">
        <v>4</v>
      </c>
      <c r="F375" s="4" t="s">
        <v>5</v>
      </c>
      <c r="G375" s="4" t="s">
        <v>6</v>
      </c>
      <c r="H375" s="4" t="s">
        <v>7</v>
      </c>
      <c r="I375" s="4" t="s">
        <v>8</v>
      </c>
      <c r="J375" s="5" t="s">
        <v>4</v>
      </c>
      <c r="K375" s="4" t="s">
        <v>9</v>
      </c>
      <c r="L375" s="4" t="s">
        <v>10</v>
      </c>
      <c r="M375" s="4" t="s">
        <v>11</v>
      </c>
      <c r="N375" s="4" t="s">
        <v>12</v>
      </c>
      <c r="O375" s="4" t="s">
        <v>13</v>
      </c>
      <c r="P375" s="4" t="s">
        <v>26</v>
      </c>
      <c r="Q375" s="4" t="s">
        <v>27</v>
      </c>
    </row>
    <row r="376" spans="1:30" ht="12.75">
      <c r="A376">
        <v>1</v>
      </c>
      <c r="B376" t="s">
        <v>52</v>
      </c>
      <c r="C376">
        <v>108</v>
      </c>
      <c r="D376" s="8">
        <v>0.2916666666666667</v>
      </c>
      <c r="E376"/>
      <c r="F376" t="s">
        <v>116</v>
      </c>
      <c r="G376" t="s">
        <v>117</v>
      </c>
      <c r="H376"/>
      <c r="I376" s="17">
        <f>C376/D376/24</f>
        <v>15.428571428571429</v>
      </c>
      <c r="J376"/>
      <c r="K376" t="s">
        <v>16</v>
      </c>
      <c r="L376" t="s">
        <v>29</v>
      </c>
      <c r="M376" t="s">
        <v>18</v>
      </c>
      <c r="N376">
        <v>7</v>
      </c>
      <c r="O376" s="17">
        <f>N376*C376</f>
        <v>756</v>
      </c>
      <c r="P376"/>
      <c r="Q376"/>
      <c r="R376"/>
      <c r="S376"/>
      <c r="T376"/>
      <c r="U376"/>
      <c r="V376"/>
      <c r="W376"/>
      <c r="X376"/>
      <c r="Y376"/>
      <c r="Z376"/>
      <c r="AA376"/>
      <c r="AB376"/>
      <c r="AC376"/>
      <c r="AD376"/>
    </row>
    <row r="377" spans="1:30" ht="12.75">
      <c r="A377">
        <v>2</v>
      </c>
      <c r="B377" t="s">
        <v>118</v>
      </c>
      <c r="C377">
        <v>108</v>
      </c>
      <c r="D377" s="8">
        <v>0.2708333333333333</v>
      </c>
      <c r="E377"/>
      <c r="F377" t="s">
        <v>116</v>
      </c>
      <c r="G377" t="s">
        <v>117</v>
      </c>
      <c r="H377"/>
      <c r="I377" s="17">
        <f>C377/D377/24</f>
        <v>16.615384615384617</v>
      </c>
      <c r="J377"/>
      <c r="K377" t="s">
        <v>20</v>
      </c>
      <c r="L377" t="s">
        <v>29</v>
      </c>
      <c r="M377" t="s">
        <v>18</v>
      </c>
      <c r="N377">
        <v>7</v>
      </c>
      <c r="O377" s="17">
        <f>N377*C377</f>
        <v>756</v>
      </c>
      <c r="P377"/>
      <c r="Q377"/>
      <c r="R377"/>
      <c r="S377"/>
      <c r="T377"/>
      <c r="U377"/>
      <c r="V377"/>
      <c r="W377"/>
      <c r="X377"/>
      <c r="Y377"/>
      <c r="Z377"/>
      <c r="AA377"/>
      <c r="AB377"/>
      <c r="AC377"/>
      <c r="AD377"/>
    </row>
    <row r="378" spans="1:30" ht="12.75">
      <c r="A378">
        <v>21</v>
      </c>
      <c r="B378" t="s">
        <v>119</v>
      </c>
      <c r="C378">
        <v>44</v>
      </c>
      <c r="D378" s="8">
        <v>0.08333333333333333</v>
      </c>
      <c r="E378"/>
      <c r="F378" t="s">
        <v>120</v>
      </c>
      <c r="G378" t="s">
        <v>121</v>
      </c>
      <c r="H378" t="s">
        <v>86</v>
      </c>
      <c r="I378" s="17">
        <f>C378/D378/24</f>
        <v>22</v>
      </c>
      <c r="J378"/>
      <c r="K378" t="s">
        <v>16</v>
      </c>
      <c r="L378" t="s">
        <v>29</v>
      </c>
      <c r="M378" t="s">
        <v>18</v>
      </c>
      <c r="N378">
        <v>7</v>
      </c>
      <c r="O378" s="17">
        <f>N378*C378</f>
        <v>308</v>
      </c>
      <c r="P378"/>
      <c r="Q378"/>
      <c r="R378"/>
      <c r="S378"/>
      <c r="T378"/>
      <c r="U378"/>
      <c r="V378"/>
      <c r="W378"/>
      <c r="X378"/>
      <c r="Y378"/>
      <c r="Z378"/>
      <c r="AA378"/>
      <c r="AB378"/>
      <c r="AC378"/>
      <c r="AD378"/>
    </row>
    <row r="379" spans="1:30" ht="12.75">
      <c r="A379">
        <v>22</v>
      </c>
      <c r="B379" t="s">
        <v>122</v>
      </c>
      <c r="C379">
        <v>44</v>
      </c>
      <c r="D379" s="8">
        <v>0.06944444444444445</v>
      </c>
      <c r="E379"/>
      <c r="F379" t="s">
        <v>120</v>
      </c>
      <c r="G379" t="s">
        <v>121</v>
      </c>
      <c r="H379" t="s">
        <v>86</v>
      </c>
      <c r="I379" s="17">
        <f>C379/D379/24</f>
        <v>26.400000000000002</v>
      </c>
      <c r="J379"/>
      <c r="K379" t="s">
        <v>20</v>
      </c>
      <c r="L379" t="s">
        <v>29</v>
      </c>
      <c r="M379" t="s">
        <v>18</v>
      </c>
      <c r="N379">
        <v>7</v>
      </c>
      <c r="O379" s="17">
        <f>N379*C379</f>
        <v>308</v>
      </c>
      <c r="P379"/>
      <c r="Q379"/>
      <c r="R379"/>
      <c r="S379"/>
      <c r="T379"/>
      <c r="U379"/>
      <c r="V379"/>
      <c r="W379"/>
      <c r="X379"/>
      <c r="Y379"/>
      <c r="Z379"/>
      <c r="AA379"/>
      <c r="AB379"/>
      <c r="AC379"/>
      <c r="AD379"/>
    </row>
    <row r="380" spans="1:30" ht="12.75">
      <c r="A380">
        <v>23</v>
      </c>
      <c r="B380" t="s">
        <v>119</v>
      </c>
      <c r="C380">
        <v>44</v>
      </c>
      <c r="D380" s="8">
        <v>0.0763888888888889</v>
      </c>
      <c r="E380"/>
      <c r="F380" t="s">
        <v>120</v>
      </c>
      <c r="G380" t="s">
        <v>123</v>
      </c>
      <c r="H380" t="s">
        <v>86</v>
      </c>
      <c r="I380" s="17">
        <f>C380/D380/24</f>
        <v>24</v>
      </c>
      <c r="J380"/>
      <c r="K380" t="s">
        <v>16</v>
      </c>
      <c r="L380" t="s">
        <v>29</v>
      </c>
      <c r="M380" t="s">
        <v>18</v>
      </c>
      <c r="N380">
        <v>7</v>
      </c>
      <c r="O380" s="17">
        <f>N380*C380</f>
        <v>308</v>
      </c>
      <c r="P380"/>
      <c r="Q380"/>
      <c r="R380"/>
      <c r="S380"/>
      <c r="T380"/>
      <c r="U380"/>
      <c r="V380"/>
      <c r="W380"/>
      <c r="X380"/>
      <c r="Y380"/>
      <c r="Z380"/>
      <c r="AA380"/>
      <c r="AB380"/>
      <c r="AC380"/>
      <c r="AD380"/>
    </row>
    <row r="381" spans="1:30" ht="12.75">
      <c r="A381">
        <v>24</v>
      </c>
      <c r="B381" t="s">
        <v>122</v>
      </c>
      <c r="C381">
        <v>44</v>
      </c>
      <c r="D381" s="8">
        <v>0.08333333333333333</v>
      </c>
      <c r="E381"/>
      <c r="F381" t="s">
        <v>120</v>
      </c>
      <c r="G381" t="s">
        <v>123</v>
      </c>
      <c r="H381" t="s">
        <v>86</v>
      </c>
      <c r="I381" s="17">
        <f>C381/D381/24</f>
        <v>22</v>
      </c>
      <c r="J381"/>
      <c r="K381" t="s">
        <v>20</v>
      </c>
      <c r="L381" t="s">
        <v>29</v>
      </c>
      <c r="M381" t="s">
        <v>18</v>
      </c>
      <c r="N381">
        <v>7</v>
      </c>
      <c r="O381" s="17">
        <f>N381*C381</f>
        <v>308</v>
      </c>
      <c r="P381"/>
      <c r="Q381"/>
      <c r="R381"/>
      <c r="S381"/>
      <c r="T381"/>
      <c r="U381"/>
      <c r="V381"/>
      <c r="W381"/>
      <c r="X381"/>
      <c r="Y381"/>
      <c r="Z381"/>
      <c r="AA381"/>
      <c r="AB381"/>
      <c r="AC381"/>
      <c r="AD381"/>
    </row>
    <row r="382" spans="1:30" ht="12.75">
      <c r="A382">
        <v>31</v>
      </c>
      <c r="B382" t="s">
        <v>124</v>
      </c>
      <c r="C382">
        <v>32</v>
      </c>
      <c r="D382" s="8">
        <v>0.0625</v>
      </c>
      <c r="E382"/>
      <c r="F382" t="s">
        <v>125</v>
      </c>
      <c r="G382" t="s">
        <v>126</v>
      </c>
      <c r="H382" t="s">
        <v>86</v>
      </c>
      <c r="I382" s="17">
        <f>C382/D382/24</f>
        <v>21.333333333333332</v>
      </c>
      <c r="J382"/>
      <c r="K382" t="s">
        <v>16</v>
      </c>
      <c r="L382" t="s">
        <v>29</v>
      </c>
      <c r="M382" t="s">
        <v>18</v>
      </c>
      <c r="N382">
        <v>7</v>
      </c>
      <c r="O382" s="17">
        <f>N382*C382</f>
        <v>224</v>
      </c>
      <c r="P382"/>
      <c r="Q382"/>
      <c r="R382"/>
      <c r="S382"/>
      <c r="T382"/>
      <c r="U382"/>
      <c r="V382"/>
      <c r="W382"/>
      <c r="X382"/>
      <c r="Y382"/>
      <c r="Z382"/>
      <c r="AA382"/>
      <c r="AB382"/>
      <c r="AC382"/>
      <c r="AD382"/>
    </row>
    <row r="383" spans="1:30" ht="12.75">
      <c r="A383">
        <v>32</v>
      </c>
      <c r="B383" t="s">
        <v>127</v>
      </c>
      <c r="C383">
        <v>32</v>
      </c>
      <c r="D383" s="8">
        <v>0.0625</v>
      </c>
      <c r="E383"/>
      <c r="F383" t="s">
        <v>125</v>
      </c>
      <c r="G383" t="s">
        <v>126</v>
      </c>
      <c r="H383" t="s">
        <v>86</v>
      </c>
      <c r="I383" s="17">
        <f>C383/D383/24</f>
        <v>21.333333333333332</v>
      </c>
      <c r="J383"/>
      <c r="K383" t="s">
        <v>20</v>
      </c>
      <c r="L383" t="s">
        <v>29</v>
      </c>
      <c r="M383" t="s">
        <v>18</v>
      </c>
      <c r="N383">
        <v>7</v>
      </c>
      <c r="O383" s="17">
        <f>N383*C383</f>
        <v>224</v>
      </c>
      <c r="P383"/>
      <c r="Q383"/>
      <c r="R383"/>
      <c r="S383"/>
      <c r="T383"/>
      <c r="U383"/>
      <c r="V383"/>
      <c r="W383"/>
      <c r="X383"/>
      <c r="Y383"/>
      <c r="Z383"/>
      <c r="AA383"/>
      <c r="AB383"/>
      <c r="AC383"/>
      <c r="AD383"/>
    </row>
    <row r="384" spans="1:30" ht="12.75">
      <c r="A384">
        <v>41</v>
      </c>
      <c r="B384" t="s">
        <v>124</v>
      </c>
      <c r="C384">
        <v>32</v>
      </c>
      <c r="D384" s="8">
        <v>0.0625</v>
      </c>
      <c r="E384"/>
      <c r="F384" t="s">
        <v>125</v>
      </c>
      <c r="G384" t="s">
        <v>126</v>
      </c>
      <c r="H384" t="s">
        <v>86</v>
      </c>
      <c r="I384" s="17">
        <f>C384/D384/24</f>
        <v>21.333333333333332</v>
      </c>
      <c r="J384"/>
      <c r="K384" t="s">
        <v>16</v>
      </c>
      <c r="L384" t="s">
        <v>29</v>
      </c>
      <c r="M384" t="s">
        <v>18</v>
      </c>
      <c r="N384">
        <v>7</v>
      </c>
      <c r="O384" s="17">
        <f>N384*C384</f>
        <v>224</v>
      </c>
      <c r="P384"/>
      <c r="Q384"/>
      <c r="R384"/>
      <c r="S384"/>
      <c r="T384"/>
      <c r="U384"/>
      <c r="V384"/>
      <c r="W384"/>
      <c r="X384"/>
      <c r="Y384"/>
      <c r="Z384"/>
      <c r="AA384"/>
      <c r="AB384"/>
      <c r="AC384"/>
      <c r="AD384"/>
    </row>
    <row r="385" spans="1:30" ht="12.75">
      <c r="A385">
        <v>42</v>
      </c>
      <c r="B385" t="s">
        <v>127</v>
      </c>
      <c r="C385">
        <v>32</v>
      </c>
      <c r="D385" s="8">
        <v>0.0625</v>
      </c>
      <c r="E385"/>
      <c r="F385" t="s">
        <v>125</v>
      </c>
      <c r="G385" t="s">
        <v>126</v>
      </c>
      <c r="H385" t="s">
        <v>86</v>
      </c>
      <c r="I385" s="17">
        <f>C385/D385/24</f>
        <v>21.333333333333332</v>
      </c>
      <c r="J385"/>
      <c r="K385" t="s">
        <v>20</v>
      </c>
      <c r="L385" t="s">
        <v>29</v>
      </c>
      <c r="M385" t="s">
        <v>18</v>
      </c>
      <c r="N385">
        <v>7</v>
      </c>
      <c r="O385" s="17">
        <f>N385*C385</f>
        <v>224</v>
      </c>
      <c r="P385"/>
      <c r="Q385"/>
      <c r="R385"/>
      <c r="S385"/>
      <c r="T385"/>
      <c r="U385"/>
      <c r="V385"/>
      <c r="W385"/>
      <c r="X385"/>
      <c r="Y385"/>
      <c r="Z385"/>
      <c r="AA385"/>
      <c r="AB385"/>
      <c r="AC385"/>
      <c r="AD385"/>
    </row>
    <row r="386" spans="1:30" ht="12.75">
      <c r="A386">
        <v>51</v>
      </c>
      <c r="B386" t="s">
        <v>124</v>
      </c>
      <c r="C386">
        <v>32</v>
      </c>
      <c r="D386" s="8">
        <v>0.0625</v>
      </c>
      <c r="E386"/>
      <c r="F386" t="s">
        <v>125</v>
      </c>
      <c r="G386" t="s">
        <v>128</v>
      </c>
      <c r="H386" t="s">
        <v>86</v>
      </c>
      <c r="I386" s="17">
        <f>C386/D386/24</f>
        <v>21.333333333333332</v>
      </c>
      <c r="J386"/>
      <c r="K386" t="s">
        <v>16</v>
      </c>
      <c r="L386" t="s">
        <v>29</v>
      </c>
      <c r="M386" t="s">
        <v>18</v>
      </c>
      <c r="N386">
        <v>4</v>
      </c>
      <c r="O386" s="17">
        <f>N386*C386</f>
        <v>128</v>
      </c>
      <c r="P386"/>
      <c r="Q386"/>
      <c r="R386"/>
      <c r="S386"/>
      <c r="T386"/>
      <c r="U386"/>
      <c r="V386"/>
      <c r="W386"/>
      <c r="X386"/>
      <c r="Y386"/>
      <c r="Z386"/>
      <c r="AA386"/>
      <c r="AB386"/>
      <c r="AC386"/>
      <c r="AD386"/>
    </row>
    <row r="387" spans="1:30" ht="12.75">
      <c r="A387">
        <v>52</v>
      </c>
      <c r="B387" t="s">
        <v>127</v>
      </c>
      <c r="C387">
        <v>32</v>
      </c>
      <c r="D387" s="8">
        <v>0.0625</v>
      </c>
      <c r="E387"/>
      <c r="F387" t="s">
        <v>125</v>
      </c>
      <c r="G387" t="s">
        <v>128</v>
      </c>
      <c r="H387" t="s">
        <v>86</v>
      </c>
      <c r="I387" s="17">
        <f>C387/D387/24</f>
        <v>21.333333333333332</v>
      </c>
      <c r="J387"/>
      <c r="K387" t="s">
        <v>20</v>
      </c>
      <c r="L387" t="s">
        <v>29</v>
      </c>
      <c r="M387" t="s">
        <v>18</v>
      </c>
      <c r="N387">
        <v>4</v>
      </c>
      <c r="O387" s="17">
        <f>N387*C387</f>
        <v>128</v>
      </c>
      <c r="P387"/>
      <c r="Q387"/>
      <c r="R387"/>
      <c r="S387"/>
      <c r="T387"/>
      <c r="U387"/>
      <c r="V387"/>
      <c r="W387"/>
      <c r="X387"/>
      <c r="Y387"/>
      <c r="Z387"/>
      <c r="AA387"/>
      <c r="AB387"/>
      <c r="AC387"/>
      <c r="AD387"/>
    </row>
    <row r="388" spans="1:30" ht="12.75">
      <c r="A388" t="s">
        <v>129</v>
      </c>
      <c r="B388" t="s">
        <v>119</v>
      </c>
      <c r="C388">
        <v>44</v>
      </c>
      <c r="D388" s="8">
        <v>0.0798611111111111</v>
      </c>
      <c r="E388"/>
      <c r="F388" t="s">
        <v>130</v>
      </c>
      <c r="G388" t="s">
        <v>131</v>
      </c>
      <c r="H388"/>
      <c r="I388" s="17">
        <f>C388/D388/24</f>
        <v>22.956521739130437</v>
      </c>
      <c r="J388"/>
      <c r="K388" t="s">
        <v>16</v>
      </c>
      <c r="L388" t="s">
        <v>29</v>
      </c>
      <c r="M388" t="s">
        <v>18</v>
      </c>
      <c r="N388">
        <v>2</v>
      </c>
      <c r="O388" s="17">
        <f>N388*C388</f>
        <v>88</v>
      </c>
      <c r="P388"/>
      <c r="Q388"/>
      <c r="R388"/>
      <c r="S388"/>
      <c r="T388"/>
      <c r="U388"/>
      <c r="V388"/>
      <c r="W388"/>
      <c r="X388"/>
      <c r="Y388"/>
      <c r="Z388"/>
      <c r="AA388"/>
      <c r="AB388"/>
      <c r="AC388"/>
      <c r="AD388"/>
    </row>
    <row r="389" spans="1:30" ht="12.75">
      <c r="A389" t="s">
        <v>129</v>
      </c>
      <c r="B389" t="s">
        <v>122</v>
      </c>
      <c r="C389">
        <v>44</v>
      </c>
      <c r="D389" s="8">
        <v>0.0798611111111111</v>
      </c>
      <c r="E389"/>
      <c r="F389" t="s">
        <v>130</v>
      </c>
      <c r="G389" t="s">
        <v>131</v>
      </c>
      <c r="H389"/>
      <c r="I389" s="17">
        <f>C389/D389/24</f>
        <v>22.956521739130437</v>
      </c>
      <c r="J389"/>
      <c r="K389" t="s">
        <v>20</v>
      </c>
      <c r="L389" t="s">
        <v>29</v>
      </c>
      <c r="M389" t="s">
        <v>18</v>
      </c>
      <c r="N389">
        <v>2</v>
      </c>
      <c r="O389" s="17">
        <f>N389*C389</f>
        <v>88</v>
      </c>
      <c r="P389"/>
      <c r="Q389"/>
      <c r="R389"/>
      <c r="S389"/>
      <c r="T389"/>
      <c r="U389"/>
      <c r="V389"/>
      <c r="W389"/>
      <c r="X389"/>
      <c r="Y389"/>
      <c r="Z389"/>
      <c r="AA389"/>
      <c r="AB389"/>
      <c r="AC389"/>
      <c r="AD389"/>
    </row>
    <row r="390" spans="1:15" ht="12.75">
      <c r="A390"/>
      <c r="B390" s="1" t="s">
        <v>24</v>
      </c>
      <c r="C390" s="18">
        <v>178.23</v>
      </c>
      <c r="D390" s="8">
        <v>0.18055555555555555</v>
      </c>
      <c r="E390"/>
      <c r="F390" s="6" t="s">
        <v>80</v>
      </c>
      <c r="G390" s="2" t="s">
        <v>132</v>
      </c>
      <c r="H390" s="15" t="s">
        <v>82</v>
      </c>
      <c r="I390" s="9">
        <f>C390/D390/24</f>
        <v>41.13</v>
      </c>
      <c r="J390" s="9"/>
      <c r="K390" s="2" t="s">
        <v>20</v>
      </c>
      <c r="L390" s="1" t="s">
        <v>29</v>
      </c>
      <c r="M390" s="2" t="s">
        <v>34</v>
      </c>
      <c r="N390" s="2">
        <v>7</v>
      </c>
      <c r="O390" s="2">
        <f>N390*C390</f>
        <v>1247.61</v>
      </c>
    </row>
    <row r="391" spans="1:15" ht="12.75">
      <c r="A391"/>
      <c r="B391" s="1" t="s">
        <v>21</v>
      </c>
      <c r="C391" s="18">
        <v>178.23</v>
      </c>
      <c r="D391" s="8">
        <v>0.17708333333333334</v>
      </c>
      <c r="E391"/>
      <c r="F391" s="6" t="s">
        <v>80</v>
      </c>
      <c r="G391" s="2" t="s">
        <v>132</v>
      </c>
      <c r="H391" s="15" t="s">
        <v>82</v>
      </c>
      <c r="I391" s="9">
        <f>C391/D391/24</f>
        <v>41.93647058823529</v>
      </c>
      <c r="J391" s="9"/>
      <c r="K391" s="2" t="s">
        <v>16</v>
      </c>
      <c r="L391" s="1" t="s">
        <v>29</v>
      </c>
      <c r="M391" s="2" t="s">
        <v>34</v>
      </c>
      <c r="N391" s="2">
        <v>7</v>
      </c>
      <c r="O391" s="2">
        <f>N391*C391</f>
        <v>1247.61</v>
      </c>
    </row>
    <row r="392" spans="1:15" ht="12.75">
      <c r="A392" s="1">
        <v>2</v>
      </c>
      <c r="B392" s="6" t="s">
        <v>56</v>
      </c>
      <c r="C392" s="6">
        <v>573</v>
      </c>
      <c r="D392" s="10">
        <v>0.4895833333333333</v>
      </c>
      <c r="E392"/>
      <c r="F392" s="6" t="s">
        <v>83</v>
      </c>
      <c r="G392" s="2" t="s">
        <v>133</v>
      </c>
      <c r="H392" s="15" t="s">
        <v>101</v>
      </c>
      <c r="I392" s="9">
        <f>C392/D392/24</f>
        <v>48.76595744680851</v>
      </c>
      <c r="J392" s="9"/>
      <c r="K392" s="2" t="s">
        <v>16</v>
      </c>
      <c r="L392" s="1" t="s">
        <v>29</v>
      </c>
      <c r="M392" s="2" t="s">
        <v>34</v>
      </c>
      <c r="N392" s="2">
        <v>7</v>
      </c>
      <c r="O392" s="2">
        <f>N392*C392</f>
        <v>4011</v>
      </c>
    </row>
    <row r="393" spans="1:15" ht="12.75">
      <c r="A393" s="1">
        <v>1</v>
      </c>
      <c r="B393" s="1" t="s">
        <v>59</v>
      </c>
      <c r="C393" s="6">
        <v>573</v>
      </c>
      <c r="D393" s="10">
        <v>0.4895833333333333</v>
      </c>
      <c r="E393"/>
      <c r="F393" s="6" t="s">
        <v>83</v>
      </c>
      <c r="G393" s="2" t="s">
        <v>111</v>
      </c>
      <c r="H393" s="15" t="s">
        <v>101</v>
      </c>
      <c r="I393" s="9">
        <f>C393/D393/24</f>
        <v>48.76595744680851</v>
      </c>
      <c r="J393" s="9"/>
      <c r="K393" s="2" t="s">
        <v>20</v>
      </c>
      <c r="L393" s="1" t="s">
        <v>29</v>
      </c>
      <c r="M393" s="2" t="s">
        <v>34</v>
      </c>
      <c r="N393" s="2">
        <v>7</v>
      </c>
      <c r="O393" s="2">
        <f>N393*C393</f>
        <v>4011</v>
      </c>
    </row>
    <row r="394" spans="2:15" ht="12.75">
      <c r="B394" s="1" t="s">
        <v>103</v>
      </c>
      <c r="C394" s="1">
        <v>150</v>
      </c>
      <c r="D394" s="10">
        <v>0.21180555555555555</v>
      </c>
      <c r="E394" s="10">
        <f>D394-1/24*25/60</f>
        <v>0.19444444444444445</v>
      </c>
      <c r="F394" s="6" t="s">
        <v>85</v>
      </c>
      <c r="G394" s="2" t="s">
        <v>133</v>
      </c>
      <c r="H394" s="15" t="s">
        <v>82</v>
      </c>
      <c r="I394" s="9">
        <f>C394/D394/24</f>
        <v>29.508196721311478</v>
      </c>
      <c r="J394" s="9">
        <f>C394/E394/24</f>
        <v>32.142857142857146</v>
      </c>
      <c r="K394" s="2" t="s">
        <v>20</v>
      </c>
      <c r="L394" s="1" t="s">
        <v>29</v>
      </c>
      <c r="M394" s="2" t="s">
        <v>34</v>
      </c>
      <c r="N394" s="2">
        <v>7</v>
      </c>
      <c r="O394" s="2">
        <f>N394*C394</f>
        <v>1050</v>
      </c>
    </row>
    <row r="395" spans="2:15" ht="12.75">
      <c r="B395" s="1" t="s">
        <v>104</v>
      </c>
      <c r="C395" s="1">
        <v>150</v>
      </c>
      <c r="D395" s="10">
        <v>0.2465277777777778</v>
      </c>
      <c r="E395" s="10">
        <f>D395-1/24</f>
        <v>0.20486111111111113</v>
      </c>
      <c r="F395" s="6" t="s">
        <v>85</v>
      </c>
      <c r="G395" s="2" t="s">
        <v>133</v>
      </c>
      <c r="H395" s="15" t="s">
        <v>82</v>
      </c>
      <c r="I395" s="9">
        <f>C395/D395/24</f>
        <v>25.352112676056336</v>
      </c>
      <c r="J395" s="9">
        <f>C395/E395/24</f>
        <v>30.508474576271183</v>
      </c>
      <c r="K395" s="2" t="s">
        <v>16</v>
      </c>
      <c r="L395" s="1" t="s">
        <v>29</v>
      </c>
      <c r="M395" s="2" t="s">
        <v>34</v>
      </c>
      <c r="N395" s="2">
        <v>7</v>
      </c>
      <c r="O395" s="2">
        <f>N395*C395</f>
        <v>1050</v>
      </c>
    </row>
    <row r="396" spans="1:15" ht="12.75">
      <c r="A396" s="1">
        <v>4</v>
      </c>
      <c r="B396" s="6" t="s">
        <v>87</v>
      </c>
      <c r="C396" s="6">
        <v>88</v>
      </c>
      <c r="D396" s="10">
        <v>0.08333333333333333</v>
      </c>
      <c r="E396"/>
      <c r="F396" s="6" t="s">
        <v>88</v>
      </c>
      <c r="G396" s="2" t="s">
        <v>134</v>
      </c>
      <c r="H396" s="15" t="s">
        <v>90</v>
      </c>
      <c r="I396" s="9">
        <f>C396/D396/24</f>
        <v>44</v>
      </c>
      <c r="J396" s="9"/>
      <c r="K396" s="2" t="s">
        <v>16</v>
      </c>
      <c r="L396" s="1" t="s">
        <v>29</v>
      </c>
      <c r="M396" s="2" t="s">
        <v>34</v>
      </c>
      <c r="N396" s="2">
        <v>4</v>
      </c>
      <c r="O396" s="2">
        <f>N396*C396</f>
        <v>352</v>
      </c>
    </row>
    <row r="397" spans="1:15" ht="12.75">
      <c r="A397" s="1">
        <v>3</v>
      </c>
      <c r="B397" s="1" t="s">
        <v>91</v>
      </c>
      <c r="C397" s="6">
        <v>88</v>
      </c>
      <c r="D397" s="10">
        <v>0.09375</v>
      </c>
      <c r="E397"/>
      <c r="F397" s="6" t="s">
        <v>88</v>
      </c>
      <c r="G397" s="2" t="s">
        <v>134</v>
      </c>
      <c r="H397" s="15" t="s">
        <v>90</v>
      </c>
      <c r="I397" s="9">
        <f>C397/D397/24</f>
        <v>39.11111111111111</v>
      </c>
      <c r="J397" s="9"/>
      <c r="K397" s="2" t="s">
        <v>20</v>
      </c>
      <c r="L397" s="1" t="s">
        <v>29</v>
      </c>
      <c r="M397" s="2" t="s">
        <v>34</v>
      </c>
      <c r="N397" s="2">
        <v>4</v>
      </c>
      <c r="O397" s="2">
        <f>N397*C397</f>
        <v>352</v>
      </c>
    </row>
    <row r="398" spans="1:15" ht="12.75">
      <c r="A398" s="1">
        <v>10</v>
      </c>
      <c r="B398" s="6" t="s">
        <v>56</v>
      </c>
      <c r="C398" s="6">
        <v>573</v>
      </c>
      <c r="D398" s="10">
        <v>0.46875</v>
      </c>
      <c r="E398"/>
      <c r="F398" s="6" t="s">
        <v>92</v>
      </c>
      <c r="G398" s="11" t="s">
        <v>93</v>
      </c>
      <c r="H398" s="15" t="s">
        <v>90</v>
      </c>
      <c r="I398" s="9">
        <f>C398/D398/24</f>
        <v>50.93333333333334</v>
      </c>
      <c r="J398" s="9"/>
      <c r="K398" s="2" t="s">
        <v>16</v>
      </c>
      <c r="L398" s="1" t="s">
        <v>17</v>
      </c>
      <c r="M398" s="2" t="s">
        <v>34</v>
      </c>
      <c r="N398" s="2">
        <v>1</v>
      </c>
      <c r="O398" s="2">
        <f>N398*C398</f>
        <v>573</v>
      </c>
    </row>
    <row r="399" spans="1:15" ht="12.75">
      <c r="A399" s="1">
        <v>9</v>
      </c>
      <c r="B399" s="1" t="s">
        <v>59</v>
      </c>
      <c r="C399" s="6">
        <v>573</v>
      </c>
      <c r="D399" s="10">
        <v>0.46875</v>
      </c>
      <c r="E399"/>
      <c r="F399" s="6" t="s">
        <v>92</v>
      </c>
      <c r="G399" s="11" t="s">
        <v>94</v>
      </c>
      <c r="H399" s="15" t="s">
        <v>90</v>
      </c>
      <c r="I399" s="9">
        <f>C399/D399/24</f>
        <v>50.93333333333334</v>
      </c>
      <c r="J399" s="9"/>
      <c r="K399" s="2" t="s">
        <v>20</v>
      </c>
      <c r="L399" s="1" t="s">
        <v>17</v>
      </c>
      <c r="M399" s="2" t="s">
        <v>34</v>
      </c>
      <c r="N399" s="2">
        <v>1</v>
      </c>
      <c r="O399" s="2">
        <f>N399*C399</f>
        <v>573</v>
      </c>
    </row>
    <row r="400" spans="1:15" ht="12.75">
      <c r="A400" s="1">
        <v>10</v>
      </c>
      <c r="B400" s="1" t="s">
        <v>95</v>
      </c>
      <c r="C400" s="6">
        <v>269</v>
      </c>
      <c r="D400" s="10">
        <v>0.21180555555555555</v>
      </c>
      <c r="E400"/>
      <c r="F400" s="6" t="s">
        <v>96</v>
      </c>
      <c r="G400" s="11" t="s">
        <v>135</v>
      </c>
      <c r="H400" s="15" t="s">
        <v>90</v>
      </c>
      <c r="I400" s="9">
        <f>C400/D400/24</f>
        <v>52.91803278688525</v>
      </c>
      <c r="J400" s="9"/>
      <c r="K400" s="2" t="s">
        <v>16</v>
      </c>
      <c r="L400" s="1" t="s">
        <v>17</v>
      </c>
      <c r="M400" s="2" t="s">
        <v>34</v>
      </c>
      <c r="N400" s="2">
        <v>0.25</v>
      </c>
      <c r="O400" s="2">
        <f>N400*C400</f>
        <v>67.25</v>
      </c>
    </row>
    <row r="401" spans="1:15" ht="12.75">
      <c r="A401" s="1">
        <v>9</v>
      </c>
      <c r="B401" s="1" t="s">
        <v>98</v>
      </c>
      <c r="C401" s="6">
        <v>269</v>
      </c>
      <c r="D401" s="10">
        <v>0.21180555555555555</v>
      </c>
      <c r="E401"/>
      <c r="F401" s="6" t="s">
        <v>96</v>
      </c>
      <c r="G401" s="11" t="s">
        <v>135</v>
      </c>
      <c r="H401" s="15" t="s">
        <v>90</v>
      </c>
      <c r="I401" s="9">
        <f>C401/D401/24</f>
        <v>52.91803278688525</v>
      </c>
      <c r="J401" s="9"/>
      <c r="K401" s="2" t="s">
        <v>20</v>
      </c>
      <c r="L401" s="1" t="s">
        <v>17</v>
      </c>
      <c r="M401" s="2" t="s">
        <v>34</v>
      </c>
      <c r="N401" s="2">
        <v>0.25</v>
      </c>
      <c r="O401" s="2">
        <f>N401*C401</f>
        <v>67.25</v>
      </c>
    </row>
    <row r="402" spans="2:12" ht="12.75">
      <c r="B402" s="6"/>
      <c r="C402" s="6"/>
      <c r="D402" s="6"/>
      <c r="E402"/>
      <c r="F402" s="6"/>
      <c r="G402" s="6"/>
      <c r="H402" s="6"/>
      <c r="J402"/>
      <c r="L402" s="1"/>
    </row>
    <row r="403" spans="2:17" ht="12.75">
      <c r="B403"/>
      <c r="C403"/>
      <c r="D403"/>
      <c r="E403"/>
      <c r="F403"/>
      <c r="G403"/>
      <c r="H403" s="15"/>
      <c r="I403"/>
      <c r="J403"/>
      <c r="K403"/>
      <c r="L403" s="1" t="s">
        <v>29</v>
      </c>
      <c r="M403" s="2" t="s">
        <v>18</v>
      </c>
      <c r="N403" s="2">
        <f>SUM(N376:N389)</f>
        <v>82</v>
      </c>
      <c r="O403" s="2">
        <f>SUM(O376:O389)</f>
        <v>4072</v>
      </c>
      <c r="P403" s="13">
        <f>N403/N405</f>
        <v>0.6212121212121212</v>
      </c>
      <c r="Q403" s="13">
        <f>O403/O405</f>
        <v>0.234114212319513</v>
      </c>
    </row>
    <row r="404" spans="2:17" ht="12.75">
      <c r="B404"/>
      <c r="C404"/>
      <c r="D404"/>
      <c r="E404"/>
      <c r="F404"/>
      <c r="G404"/>
      <c r="H404"/>
      <c r="I404"/>
      <c r="J404"/>
      <c r="K404"/>
      <c r="L404" t="s">
        <v>29</v>
      </c>
      <c r="M404" s="2" t="s">
        <v>34</v>
      </c>
      <c r="N404" s="2">
        <f>SUM(N390:N397)</f>
        <v>50</v>
      </c>
      <c r="O404" s="2">
        <f>SUM(O390:O397)</f>
        <v>13321.220000000001</v>
      </c>
      <c r="P404" s="13">
        <f>N404/N405</f>
        <v>0.3787878787878788</v>
      </c>
      <c r="Q404" s="13">
        <f>O404/O405</f>
        <v>0.765885787680487</v>
      </c>
    </row>
    <row r="405" spans="5:15" ht="12.75">
      <c r="E405"/>
      <c r="G405"/>
      <c r="H405"/>
      <c r="J405"/>
      <c r="L405" t="s">
        <v>29</v>
      </c>
      <c r="M405" t="s">
        <v>25</v>
      </c>
      <c r="N405" s="2">
        <f>N404+N403</f>
        <v>132</v>
      </c>
      <c r="O405" s="2">
        <f>O404+O403</f>
        <v>17393.22</v>
      </c>
    </row>
    <row r="406" spans="2:13" ht="12.75">
      <c r="B406"/>
      <c r="C406"/>
      <c r="D406"/>
      <c r="E406"/>
      <c r="F406"/>
      <c r="G406"/>
      <c r="H406"/>
      <c r="I406"/>
      <c r="J406"/>
      <c r="K406"/>
      <c r="L406"/>
      <c r="M406"/>
    </row>
    <row r="407" spans="2:17" ht="12.75">
      <c r="B407"/>
      <c r="C407"/>
      <c r="D407"/>
      <c r="E407"/>
      <c r="F407"/>
      <c r="G407"/>
      <c r="H407"/>
      <c r="I407"/>
      <c r="J407"/>
      <c r="K407"/>
      <c r="L407" s="1" t="s">
        <v>17</v>
      </c>
      <c r="M407" s="2" t="s">
        <v>34</v>
      </c>
      <c r="N407" s="2">
        <f>SUM(N398:N401)</f>
        <v>2.5</v>
      </c>
      <c r="O407" s="2">
        <f>SUM(O398:O401)</f>
        <v>1280.5</v>
      </c>
      <c r="P407" s="13">
        <f>N407/N404</f>
        <v>0.05</v>
      </c>
      <c r="Q407" s="13">
        <f>O407/O404</f>
        <v>0.09612482940751672</v>
      </c>
    </row>
    <row r="408" spans="1:256"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1:256" ht="12.75">
      <c r="A409" s="3">
        <v>2008</v>
      </c>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1:17" ht="12.75">
      <c r="A410" s="4" t="s">
        <v>0</v>
      </c>
      <c r="B410" s="4" t="s">
        <v>1</v>
      </c>
      <c r="C410" s="4" t="s">
        <v>2</v>
      </c>
      <c r="D410" s="4" t="s">
        <v>3</v>
      </c>
      <c r="E410" s="5" t="s">
        <v>4</v>
      </c>
      <c r="F410" s="4" t="s">
        <v>5</v>
      </c>
      <c r="G410" s="4" t="s">
        <v>6</v>
      </c>
      <c r="H410" s="4" t="s">
        <v>7</v>
      </c>
      <c r="I410" s="4" t="s">
        <v>8</v>
      </c>
      <c r="J410" s="5" t="s">
        <v>4</v>
      </c>
      <c r="K410" s="4" t="s">
        <v>9</v>
      </c>
      <c r="L410" s="4" t="s">
        <v>10</v>
      </c>
      <c r="M410" s="4" t="s">
        <v>11</v>
      </c>
      <c r="N410" s="4" t="s">
        <v>12</v>
      </c>
      <c r="O410" s="4" t="s">
        <v>13</v>
      </c>
      <c r="P410" s="4" t="s">
        <v>26</v>
      </c>
      <c r="Q410" s="4" t="s">
        <v>27</v>
      </c>
    </row>
    <row r="411" spans="1:15" ht="12.75">
      <c r="A411"/>
      <c r="B411" s="1" t="s">
        <v>24</v>
      </c>
      <c r="C411" s="18">
        <v>178.23</v>
      </c>
      <c r="D411" s="8">
        <v>0.18055555555555555</v>
      </c>
      <c r="E411" s="10">
        <f>D411-1/24*5/60</f>
        <v>0.17708333333333334</v>
      </c>
      <c r="F411" s="6" t="s">
        <v>80</v>
      </c>
      <c r="G411" t="s">
        <v>136</v>
      </c>
      <c r="H411" s="15" t="s">
        <v>101</v>
      </c>
      <c r="I411" s="9">
        <f>C411/D411/24</f>
        <v>41.13</v>
      </c>
      <c r="J411" s="9">
        <f>C411/E411/24</f>
        <v>41.93647058823529</v>
      </c>
      <c r="K411" s="2" t="s">
        <v>20</v>
      </c>
      <c r="L411" s="1" t="s">
        <v>29</v>
      </c>
      <c r="M411" s="2" t="s">
        <v>34</v>
      </c>
      <c r="N411" s="2">
        <v>7</v>
      </c>
      <c r="O411" s="2">
        <f>N411*C411</f>
        <v>1247.61</v>
      </c>
    </row>
    <row r="412" spans="1:15" ht="12.75">
      <c r="A412"/>
      <c r="B412" s="1" t="s">
        <v>21</v>
      </c>
      <c r="C412" s="18">
        <v>178.23</v>
      </c>
      <c r="D412" s="8">
        <v>0.17708333333333334</v>
      </c>
      <c r="E412" s="10">
        <f>D412-1/24*5/60</f>
        <v>0.17361111111111113</v>
      </c>
      <c r="F412" s="6" t="s">
        <v>80</v>
      </c>
      <c r="G412" t="s">
        <v>136</v>
      </c>
      <c r="H412" s="15" t="s">
        <v>101</v>
      </c>
      <c r="I412" s="9">
        <f>C412/D412/24</f>
        <v>41.93647058823529</v>
      </c>
      <c r="J412" s="9">
        <f>C412/E412/24</f>
        <v>42.77519999999999</v>
      </c>
      <c r="K412" s="2" t="s">
        <v>16</v>
      </c>
      <c r="L412" s="1" t="s">
        <v>29</v>
      </c>
      <c r="M412" s="2" t="s">
        <v>34</v>
      </c>
      <c r="N412" s="2">
        <v>7</v>
      </c>
      <c r="O412" s="2">
        <f>N412*C412</f>
        <v>1247.61</v>
      </c>
    </row>
    <row r="413" spans="1:15" ht="12.75">
      <c r="A413" s="1">
        <v>2</v>
      </c>
      <c r="B413" s="6" t="s">
        <v>56</v>
      </c>
      <c r="C413" s="6">
        <v>573</v>
      </c>
      <c r="D413" s="8">
        <v>0.4895833333333333</v>
      </c>
      <c r="E413" s="10">
        <f>D413-1/24*50/60</f>
        <v>0.4548611111111111</v>
      </c>
      <c r="F413" s="6" t="s">
        <v>83</v>
      </c>
      <c r="G413" t="s">
        <v>137</v>
      </c>
      <c r="H413" s="15" t="s">
        <v>82</v>
      </c>
      <c r="I413" s="9">
        <f>C413/D413/24</f>
        <v>48.76595744680851</v>
      </c>
      <c r="J413" s="9">
        <f>C413/E413/24</f>
        <v>52.48854961832061</v>
      </c>
      <c r="K413" s="2" t="s">
        <v>16</v>
      </c>
      <c r="L413" s="1" t="s">
        <v>29</v>
      </c>
      <c r="M413" s="2" t="s">
        <v>34</v>
      </c>
      <c r="N413" s="2">
        <v>7</v>
      </c>
      <c r="O413" s="2">
        <f>N413*C413</f>
        <v>4011</v>
      </c>
    </row>
    <row r="414" spans="1:15" ht="12.75">
      <c r="A414" s="1">
        <v>1</v>
      </c>
      <c r="B414" s="1" t="s">
        <v>59</v>
      </c>
      <c r="C414" s="6">
        <v>573</v>
      </c>
      <c r="D414" s="8">
        <v>0.4895833333333333</v>
      </c>
      <c r="E414" s="10">
        <f>D414-1/24*45/60</f>
        <v>0.4583333333333333</v>
      </c>
      <c r="F414" s="6" t="s">
        <v>83</v>
      </c>
      <c r="G414" s="22" t="s">
        <v>138</v>
      </c>
      <c r="H414" s="15" t="s">
        <v>82</v>
      </c>
      <c r="I414" s="9">
        <f>C414/D414/24</f>
        <v>48.76595744680851</v>
      </c>
      <c r="J414" s="9">
        <f>C414/E414/24</f>
        <v>52.09090909090909</v>
      </c>
      <c r="K414" s="2" t="s">
        <v>20</v>
      </c>
      <c r="L414" s="1" t="s">
        <v>29</v>
      </c>
      <c r="M414" s="2" t="s">
        <v>34</v>
      </c>
      <c r="N414" s="2">
        <v>7</v>
      </c>
      <c r="O414" s="2">
        <f>N414*C414</f>
        <v>4011</v>
      </c>
    </row>
    <row r="415" spans="2:15" ht="12.75">
      <c r="B415" s="1" t="s">
        <v>103</v>
      </c>
      <c r="C415" s="1">
        <v>150</v>
      </c>
      <c r="D415" s="8">
        <v>0.21180555555555555</v>
      </c>
      <c r="E415" s="10">
        <f>D415-1/24*40/60</f>
        <v>0.1840277777777778</v>
      </c>
      <c r="F415" s="6" t="s">
        <v>85</v>
      </c>
      <c r="G415" t="s">
        <v>139</v>
      </c>
      <c r="H415" s="15" t="s">
        <v>101</v>
      </c>
      <c r="I415" s="9">
        <f>C415/D415/24</f>
        <v>29.508196721311478</v>
      </c>
      <c r="J415" s="9">
        <f>C415/E415/24</f>
        <v>33.96226415094339</v>
      </c>
      <c r="K415" s="2" t="s">
        <v>20</v>
      </c>
      <c r="L415" s="1" t="s">
        <v>29</v>
      </c>
      <c r="M415" s="2" t="s">
        <v>34</v>
      </c>
      <c r="N415" s="2">
        <v>7</v>
      </c>
      <c r="O415" s="2">
        <f>N415*C415</f>
        <v>1050</v>
      </c>
    </row>
    <row r="416" spans="2:15" ht="12.75">
      <c r="B416" s="1" t="s">
        <v>104</v>
      </c>
      <c r="C416" s="1">
        <v>150</v>
      </c>
      <c r="D416" s="8">
        <v>0.2048611111111111</v>
      </c>
      <c r="E416" s="10">
        <f>D416-1/24*85/60</f>
        <v>0.14583333333333331</v>
      </c>
      <c r="F416" s="6" t="s">
        <v>85</v>
      </c>
      <c r="G416" t="s">
        <v>139</v>
      </c>
      <c r="H416" s="15" t="s">
        <v>101</v>
      </c>
      <c r="I416" s="9">
        <f>C416/D416/24</f>
        <v>30.508474576271187</v>
      </c>
      <c r="J416" s="9">
        <f>C416/E416/24</f>
        <v>42.85714285714286</v>
      </c>
      <c r="K416" s="2" t="s">
        <v>16</v>
      </c>
      <c r="L416" s="1" t="s">
        <v>29</v>
      </c>
      <c r="M416" s="2" t="s">
        <v>34</v>
      </c>
      <c r="N416" s="2">
        <v>7</v>
      </c>
      <c r="O416" s="2">
        <f>N416*C416</f>
        <v>1050</v>
      </c>
    </row>
    <row r="417" spans="1:15" ht="12.75">
      <c r="A417" s="1">
        <v>4</v>
      </c>
      <c r="B417" s="6" t="s">
        <v>87</v>
      </c>
      <c r="C417" s="6">
        <v>88</v>
      </c>
      <c r="D417" s="8">
        <v>0.08333333333333333</v>
      </c>
      <c r="E417"/>
      <c r="F417" s="6" t="s">
        <v>88</v>
      </c>
      <c r="G417" t="s">
        <v>140</v>
      </c>
      <c r="H417" s="15" t="s">
        <v>90</v>
      </c>
      <c r="I417" s="9">
        <f>C417/D417/24</f>
        <v>44</v>
      </c>
      <c r="J417" s="9"/>
      <c r="K417" s="2" t="s">
        <v>16</v>
      </c>
      <c r="L417" s="1" t="s">
        <v>29</v>
      </c>
      <c r="M417" s="2" t="s">
        <v>34</v>
      </c>
      <c r="N417" s="2">
        <v>4</v>
      </c>
      <c r="O417" s="2">
        <f>N417*C417</f>
        <v>352</v>
      </c>
    </row>
    <row r="418" spans="1:15" ht="12.75">
      <c r="A418" s="1">
        <v>3</v>
      </c>
      <c r="B418" s="1" t="s">
        <v>91</v>
      </c>
      <c r="C418" s="6">
        <v>88</v>
      </c>
      <c r="D418" s="8">
        <v>0.09375</v>
      </c>
      <c r="E418"/>
      <c r="F418" s="6" t="s">
        <v>88</v>
      </c>
      <c r="G418" s="22" t="s">
        <v>140</v>
      </c>
      <c r="H418" s="15" t="s">
        <v>90</v>
      </c>
      <c r="I418" s="9">
        <f>C418/D418/24</f>
        <v>39.11111111111111</v>
      </c>
      <c r="J418" s="9"/>
      <c r="K418" s="2" t="s">
        <v>20</v>
      </c>
      <c r="L418" s="1" t="s">
        <v>29</v>
      </c>
      <c r="M418" s="2" t="s">
        <v>34</v>
      </c>
      <c r="N418" s="2">
        <v>4</v>
      </c>
      <c r="O418" s="2">
        <f>N418*C418</f>
        <v>352</v>
      </c>
    </row>
    <row r="419" spans="1:15" ht="12.75">
      <c r="A419" s="1">
        <v>10</v>
      </c>
      <c r="B419" s="6" t="s">
        <v>56</v>
      </c>
      <c r="C419" s="6">
        <v>573</v>
      </c>
      <c r="D419" s="10">
        <v>0.46875</v>
      </c>
      <c r="E419"/>
      <c r="F419" s="6" t="s">
        <v>92</v>
      </c>
      <c r="G419" s="23" t="s">
        <v>141</v>
      </c>
      <c r="H419" s="15" t="s">
        <v>90</v>
      </c>
      <c r="I419" s="9">
        <f>C419/D419/24</f>
        <v>50.93333333333334</v>
      </c>
      <c r="J419" s="9"/>
      <c r="K419" s="2" t="s">
        <v>16</v>
      </c>
      <c r="L419" s="1" t="s">
        <v>17</v>
      </c>
      <c r="M419" s="2" t="s">
        <v>34</v>
      </c>
      <c r="N419" s="2">
        <v>1</v>
      </c>
      <c r="O419" s="2">
        <f>N419*C419</f>
        <v>573</v>
      </c>
    </row>
    <row r="420" spans="1:15" ht="12.75">
      <c r="A420" s="1">
        <v>9</v>
      </c>
      <c r="B420" s="1" t="s">
        <v>59</v>
      </c>
      <c r="C420" s="6">
        <v>573</v>
      </c>
      <c r="D420" s="10">
        <v>0.46875</v>
      </c>
      <c r="E420"/>
      <c r="F420" s="6" t="s">
        <v>92</v>
      </c>
      <c r="G420" s="23" t="s">
        <v>142</v>
      </c>
      <c r="H420" s="15" t="s">
        <v>90</v>
      </c>
      <c r="I420" s="9">
        <f>C420/D420/24</f>
        <v>50.93333333333334</v>
      </c>
      <c r="J420" s="9"/>
      <c r="K420" s="2" t="s">
        <v>20</v>
      </c>
      <c r="L420" s="1" t="s">
        <v>17</v>
      </c>
      <c r="M420" s="2" t="s">
        <v>34</v>
      </c>
      <c r="N420" s="2">
        <v>1</v>
      </c>
      <c r="O420" s="2">
        <f>N420*C420</f>
        <v>573</v>
      </c>
    </row>
    <row r="421" spans="1:15" ht="12.75">
      <c r="A421" s="1">
        <v>10</v>
      </c>
      <c r="B421" s="1" t="s">
        <v>95</v>
      </c>
      <c r="C421" s="6">
        <v>269</v>
      </c>
      <c r="D421" s="10">
        <v>0.21180555555555555</v>
      </c>
      <c r="E421"/>
      <c r="F421" s="6" t="s">
        <v>96</v>
      </c>
      <c r="G421" s="11" t="s">
        <v>143</v>
      </c>
      <c r="H421" s="15" t="s">
        <v>90</v>
      </c>
      <c r="I421" s="9">
        <f>C421/D421/24</f>
        <v>52.91803278688525</v>
      </c>
      <c r="J421" s="9"/>
      <c r="K421" s="2" t="s">
        <v>16</v>
      </c>
      <c r="L421" s="1" t="s">
        <v>17</v>
      </c>
      <c r="M421" s="2" t="s">
        <v>34</v>
      </c>
      <c r="N421" s="2">
        <v>0.25</v>
      </c>
      <c r="O421" s="2">
        <f>N421*C421</f>
        <v>67.25</v>
      </c>
    </row>
    <row r="422" spans="1:15" ht="12.75">
      <c r="A422" s="1">
        <v>9</v>
      </c>
      <c r="B422" s="1" t="s">
        <v>98</v>
      </c>
      <c r="C422" s="6">
        <v>269</v>
      </c>
      <c r="D422" s="10">
        <v>0.21180555555555555</v>
      </c>
      <c r="E422"/>
      <c r="F422" s="6" t="s">
        <v>96</v>
      </c>
      <c r="G422" s="11" t="s">
        <v>143</v>
      </c>
      <c r="H422" s="15" t="s">
        <v>90</v>
      </c>
      <c r="I422" s="9">
        <f>C422/D422/24</f>
        <v>52.91803278688525</v>
      </c>
      <c r="J422" s="9"/>
      <c r="K422" s="2" t="s">
        <v>20</v>
      </c>
      <c r="L422" s="1" t="s">
        <v>17</v>
      </c>
      <c r="M422" s="2" t="s">
        <v>34</v>
      </c>
      <c r="N422" s="2">
        <v>0.25</v>
      </c>
      <c r="O422" s="2">
        <f>N422*C422</f>
        <v>67.25</v>
      </c>
    </row>
    <row r="423" spans="2:15" ht="12.75">
      <c r="B423" s="6"/>
      <c r="C423" s="6"/>
      <c r="D423"/>
      <c r="E423"/>
      <c r="F423" s="6"/>
      <c r="G423" s="6"/>
      <c r="H423" s="6"/>
      <c r="J423"/>
      <c r="L423" s="1"/>
      <c r="N423" s="4">
        <f>SUM(N411:N422)</f>
        <v>52.5</v>
      </c>
      <c r="O423" s="4">
        <f>SUM(O411:O422)</f>
        <v>14601.720000000001</v>
      </c>
    </row>
    <row r="424" spans="2:17" ht="12.75">
      <c r="B424"/>
      <c r="C424"/>
      <c r="D424"/>
      <c r="E424" s="10"/>
      <c r="F424"/>
      <c r="G424"/>
      <c r="H424"/>
      <c r="I424"/>
      <c r="J424"/>
      <c r="K424"/>
      <c r="L424"/>
      <c r="M424"/>
      <c r="N424"/>
      <c r="O424"/>
      <c r="P424"/>
      <c r="Q424"/>
    </row>
    <row r="425" spans="2:17" ht="12.75">
      <c r="B425"/>
      <c r="C425"/>
      <c r="D425"/>
      <c r="E425"/>
      <c r="F425"/>
      <c r="G425"/>
      <c r="H425"/>
      <c r="I425"/>
      <c r="J425"/>
      <c r="K425"/>
      <c r="L425" t="s">
        <v>29</v>
      </c>
      <c r="M425" s="2" t="s">
        <v>34</v>
      </c>
      <c r="N425" s="2">
        <f>SUM(N411:N418)</f>
        <v>50</v>
      </c>
      <c r="O425" s="2">
        <f>SUM(O411:O418)</f>
        <v>13321.220000000001</v>
      </c>
      <c r="P425" s="13">
        <f>N425/N423</f>
        <v>0.9523809523809523</v>
      </c>
      <c r="Q425" s="13">
        <f>O425/O423</f>
        <v>0.9123048517571902</v>
      </c>
    </row>
    <row r="426" spans="5:17" ht="12.75">
      <c r="E426"/>
      <c r="G426"/>
      <c r="H426"/>
      <c r="J426"/>
      <c r="L426" s="1" t="s">
        <v>17</v>
      </c>
      <c r="M426" s="2" t="s">
        <v>34</v>
      </c>
      <c r="N426" s="2">
        <f>SUM(N419:N422)</f>
        <v>2.5</v>
      </c>
      <c r="O426" s="2">
        <f>SUM(O419:O422)</f>
        <v>1280.5</v>
      </c>
      <c r="P426" s="13">
        <f>N426/N423</f>
        <v>0.047619047619047616</v>
      </c>
      <c r="Q426" s="13">
        <f>O426/O423</f>
        <v>0.08769514824280975</v>
      </c>
    </row>
    <row r="427" spans="2:13" ht="12.75">
      <c r="B427"/>
      <c r="C427"/>
      <c r="D427"/>
      <c r="E427"/>
      <c r="F427"/>
      <c r="G427"/>
      <c r="H427"/>
      <c r="I427"/>
      <c r="J427"/>
      <c r="K427"/>
      <c r="L427"/>
      <c r="M427"/>
    </row>
    <row r="428" spans="1:256" ht="12.75">
      <c r="A428" s="3">
        <v>2009</v>
      </c>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1:17" ht="12.75">
      <c r="A429" s="4" t="s">
        <v>0</v>
      </c>
      <c r="B429" s="4" t="s">
        <v>1</v>
      </c>
      <c r="C429" s="4" t="s">
        <v>2</v>
      </c>
      <c r="D429" s="4" t="s">
        <v>3</v>
      </c>
      <c r="E429" s="5" t="s">
        <v>4</v>
      </c>
      <c r="F429" s="4" t="s">
        <v>5</v>
      </c>
      <c r="G429" s="4" t="s">
        <v>6</v>
      </c>
      <c r="H429" s="4" t="s">
        <v>7</v>
      </c>
      <c r="I429" s="4" t="s">
        <v>8</v>
      </c>
      <c r="J429" s="5" t="s">
        <v>4</v>
      </c>
      <c r="K429" s="4" t="s">
        <v>9</v>
      </c>
      <c r="L429" s="4" t="s">
        <v>10</v>
      </c>
      <c r="M429" s="4" t="s">
        <v>11</v>
      </c>
      <c r="N429" s="4" t="s">
        <v>12</v>
      </c>
      <c r="O429" s="4" t="s">
        <v>13</v>
      </c>
      <c r="P429" s="4" t="s">
        <v>26</v>
      </c>
      <c r="Q429" s="4" t="s">
        <v>27</v>
      </c>
    </row>
    <row r="430" spans="1:15" ht="12.75">
      <c r="A430"/>
      <c r="B430" s="1" t="s">
        <v>24</v>
      </c>
      <c r="C430" s="18">
        <v>178.23</v>
      </c>
      <c r="D430" s="8">
        <v>0.18055555555555555</v>
      </c>
      <c r="E430" s="10">
        <f>D430-1/24*5/60</f>
        <v>0.17708333333333334</v>
      </c>
      <c r="F430" s="6" t="s">
        <v>80</v>
      </c>
      <c r="G430" t="s">
        <v>144</v>
      </c>
      <c r="H430" s="15" t="s">
        <v>101</v>
      </c>
      <c r="I430" s="9">
        <f>C430/D430/24</f>
        <v>41.13</v>
      </c>
      <c r="J430" s="9">
        <f>C430/E430/24</f>
        <v>41.93647058823529</v>
      </c>
      <c r="K430" s="2" t="s">
        <v>20</v>
      </c>
      <c r="L430" s="1" t="s">
        <v>29</v>
      </c>
      <c r="M430" s="2" t="s">
        <v>34</v>
      </c>
      <c r="N430" s="2">
        <v>7</v>
      </c>
      <c r="O430" s="2">
        <f>N430*C430</f>
        <v>1247.61</v>
      </c>
    </row>
    <row r="431" spans="1:15" ht="12.75">
      <c r="A431"/>
      <c r="B431" s="1" t="s">
        <v>21</v>
      </c>
      <c r="C431" s="18">
        <v>178.23</v>
      </c>
      <c r="D431" s="8">
        <v>0.17708333333333334</v>
      </c>
      <c r="E431" s="10">
        <f>D431-1/24*5/60</f>
        <v>0.17361111111111113</v>
      </c>
      <c r="F431" s="6" t="s">
        <v>80</v>
      </c>
      <c r="G431" t="s">
        <v>144</v>
      </c>
      <c r="H431" s="15" t="s">
        <v>101</v>
      </c>
      <c r="I431" s="9">
        <f>C431/D431/24</f>
        <v>41.93647058823529</v>
      </c>
      <c r="J431" s="9">
        <f>C431/E431/24</f>
        <v>42.77519999999999</v>
      </c>
      <c r="K431" s="2" t="s">
        <v>16</v>
      </c>
      <c r="L431" s="1" t="s">
        <v>29</v>
      </c>
      <c r="M431" s="2" t="s">
        <v>34</v>
      </c>
      <c r="N431" s="2">
        <v>7</v>
      </c>
      <c r="O431" s="2">
        <f>N431*C431</f>
        <v>1247.61</v>
      </c>
    </row>
    <row r="432" spans="1:15" ht="12.75">
      <c r="A432" s="1">
        <v>2</v>
      </c>
      <c r="B432" s="6" t="s">
        <v>56</v>
      </c>
      <c r="C432" s="6">
        <v>573</v>
      </c>
      <c r="D432" s="8">
        <v>0.4895833333333333</v>
      </c>
      <c r="E432" s="10">
        <f>D432-1/24*50/60</f>
        <v>0.4548611111111111</v>
      </c>
      <c r="F432" s="6" t="s">
        <v>83</v>
      </c>
      <c r="G432" t="s">
        <v>145</v>
      </c>
      <c r="H432" s="15" t="s">
        <v>82</v>
      </c>
      <c r="I432" s="9">
        <f>C432/D432/24</f>
        <v>48.76595744680851</v>
      </c>
      <c r="J432" s="9">
        <f>C432/E432/24</f>
        <v>52.48854961832061</v>
      </c>
      <c r="K432" s="2" t="s">
        <v>16</v>
      </c>
      <c r="L432" s="1" t="s">
        <v>29</v>
      </c>
      <c r="M432" s="2" t="s">
        <v>34</v>
      </c>
      <c r="N432" s="2">
        <v>7</v>
      </c>
      <c r="O432" s="2">
        <f>N432*C432</f>
        <v>4011</v>
      </c>
    </row>
    <row r="433" spans="1:15" ht="12.75">
      <c r="A433" s="1">
        <v>1</v>
      </c>
      <c r="B433" s="1" t="s">
        <v>59</v>
      </c>
      <c r="C433" s="6">
        <v>573</v>
      </c>
      <c r="D433" s="8">
        <v>0.4895833333333333</v>
      </c>
      <c r="E433" s="10">
        <f>D433-1/24*45/60</f>
        <v>0.4583333333333333</v>
      </c>
      <c r="F433" s="6" t="s">
        <v>83</v>
      </c>
      <c r="G433" t="s">
        <v>146</v>
      </c>
      <c r="H433" s="15" t="s">
        <v>82</v>
      </c>
      <c r="I433" s="9">
        <f>C433/D433/24</f>
        <v>48.76595744680851</v>
      </c>
      <c r="J433" s="9">
        <f>C433/E433/24</f>
        <v>52.09090909090909</v>
      </c>
      <c r="K433" s="2" t="s">
        <v>20</v>
      </c>
      <c r="L433" s="1" t="s">
        <v>29</v>
      </c>
      <c r="M433" s="2" t="s">
        <v>34</v>
      </c>
      <c r="N433" s="2">
        <v>7</v>
      </c>
      <c r="O433" s="2">
        <f>N433*C433</f>
        <v>4011</v>
      </c>
    </row>
    <row r="434" spans="2:15" ht="12.75">
      <c r="B434" s="1" t="s">
        <v>103</v>
      </c>
      <c r="C434" s="1">
        <v>150</v>
      </c>
      <c r="D434" s="8">
        <v>0.21180555555555555</v>
      </c>
      <c r="E434" s="10">
        <f>D434-1/24*40/60</f>
        <v>0.1840277777777778</v>
      </c>
      <c r="F434" s="6" t="s">
        <v>85</v>
      </c>
      <c r="G434" t="s">
        <v>146</v>
      </c>
      <c r="H434" s="15" t="s">
        <v>101</v>
      </c>
      <c r="I434" s="9">
        <f>C434/D434/24</f>
        <v>29.508196721311478</v>
      </c>
      <c r="J434" s="9">
        <f>C434/E434/24</f>
        <v>33.96226415094339</v>
      </c>
      <c r="K434" s="2" t="s">
        <v>20</v>
      </c>
      <c r="L434" s="1" t="s">
        <v>29</v>
      </c>
      <c r="M434" s="2" t="s">
        <v>34</v>
      </c>
      <c r="N434" s="2">
        <v>7</v>
      </c>
      <c r="O434" s="2">
        <f>N434*C434</f>
        <v>1050</v>
      </c>
    </row>
    <row r="435" spans="2:15" ht="12.75">
      <c r="B435" s="1" t="s">
        <v>104</v>
      </c>
      <c r="C435" s="1">
        <v>150</v>
      </c>
      <c r="D435" s="8">
        <v>0.2048611111111111</v>
      </c>
      <c r="E435" s="10">
        <f>D435-1/24*85/60</f>
        <v>0.14583333333333331</v>
      </c>
      <c r="F435" s="6" t="s">
        <v>85</v>
      </c>
      <c r="G435" t="s">
        <v>146</v>
      </c>
      <c r="H435" s="15" t="s">
        <v>101</v>
      </c>
      <c r="I435" s="9">
        <f>C435/D435/24</f>
        <v>30.508474576271187</v>
      </c>
      <c r="J435" s="9">
        <f>C435/E435/24</f>
        <v>42.85714285714286</v>
      </c>
      <c r="K435" s="2" t="s">
        <v>16</v>
      </c>
      <c r="L435" s="1" t="s">
        <v>29</v>
      </c>
      <c r="M435" s="2" t="s">
        <v>34</v>
      </c>
      <c r="N435" s="2">
        <v>7</v>
      </c>
      <c r="O435" s="2">
        <f>N435*C435</f>
        <v>1050</v>
      </c>
    </row>
    <row r="436" spans="1:15" ht="12.75">
      <c r="A436" s="1">
        <v>4</v>
      </c>
      <c r="B436" s="6" t="s">
        <v>87</v>
      </c>
      <c r="C436" s="6">
        <v>88</v>
      </c>
      <c r="D436" s="8">
        <v>0.08333333333333333</v>
      </c>
      <c r="E436"/>
      <c r="F436" s="6" t="s">
        <v>88</v>
      </c>
      <c r="G436" t="s">
        <v>147</v>
      </c>
      <c r="H436" s="15" t="s">
        <v>148</v>
      </c>
      <c r="I436" s="9">
        <f>C436/D436/24</f>
        <v>44</v>
      </c>
      <c r="J436" s="9"/>
      <c r="K436" s="2" t="s">
        <v>16</v>
      </c>
      <c r="L436" s="1" t="s">
        <v>29</v>
      </c>
      <c r="M436" s="2" t="s">
        <v>34</v>
      </c>
      <c r="N436" s="2">
        <v>4</v>
      </c>
      <c r="O436" s="2">
        <f>N436*C436</f>
        <v>352</v>
      </c>
    </row>
    <row r="437" spans="1:15" ht="12.75">
      <c r="A437" s="1">
        <v>3</v>
      </c>
      <c r="B437" s="1" t="s">
        <v>91</v>
      </c>
      <c r="C437" s="6">
        <v>88</v>
      </c>
      <c r="D437" s="8">
        <v>0.09375</v>
      </c>
      <c r="E437"/>
      <c r="F437" s="6" t="s">
        <v>88</v>
      </c>
      <c r="G437" t="s">
        <v>147</v>
      </c>
      <c r="H437" s="15" t="s">
        <v>148</v>
      </c>
      <c r="I437" s="9">
        <f>C437/D437/24</f>
        <v>39.11111111111111</v>
      </c>
      <c r="J437" s="9"/>
      <c r="K437" s="2" t="s">
        <v>20</v>
      </c>
      <c r="L437" s="1" t="s">
        <v>29</v>
      </c>
      <c r="M437" s="2" t="s">
        <v>34</v>
      </c>
      <c r="N437" s="2">
        <v>4</v>
      </c>
      <c r="O437" s="2">
        <f>N437*C437</f>
        <v>352</v>
      </c>
    </row>
    <row r="438" spans="1:15" ht="12.75">
      <c r="A438" s="1">
        <v>10</v>
      </c>
      <c r="B438" s="6" t="s">
        <v>56</v>
      </c>
      <c r="C438" s="6">
        <v>573</v>
      </c>
      <c r="D438" s="10">
        <v>0.46875</v>
      </c>
      <c r="E438"/>
      <c r="F438" s="6" t="s">
        <v>92</v>
      </c>
      <c r="G438" s="23" t="s">
        <v>149</v>
      </c>
      <c r="H438" s="15" t="s">
        <v>148</v>
      </c>
      <c r="I438" s="9">
        <f>C438/D438/24</f>
        <v>50.93333333333334</v>
      </c>
      <c r="J438" s="9"/>
      <c r="K438" s="2" t="s">
        <v>16</v>
      </c>
      <c r="L438" s="1" t="s">
        <v>17</v>
      </c>
      <c r="M438" s="2" t="s">
        <v>34</v>
      </c>
      <c r="N438" s="2">
        <v>1</v>
      </c>
      <c r="O438" s="2">
        <f>N438*C438</f>
        <v>573</v>
      </c>
    </row>
    <row r="439" spans="1:15" ht="12.75">
      <c r="A439" s="1">
        <v>9</v>
      </c>
      <c r="B439" s="1" t="s">
        <v>59</v>
      </c>
      <c r="C439" s="6">
        <v>573</v>
      </c>
      <c r="D439" s="10">
        <v>0.46875</v>
      </c>
      <c r="E439"/>
      <c r="F439" s="6" t="s">
        <v>92</v>
      </c>
      <c r="G439" s="23" t="s">
        <v>150</v>
      </c>
      <c r="H439" s="15" t="s">
        <v>148</v>
      </c>
      <c r="I439" s="9">
        <f>C439/D439/24</f>
        <v>50.93333333333334</v>
      </c>
      <c r="J439" s="9"/>
      <c r="K439" s="2" t="s">
        <v>20</v>
      </c>
      <c r="L439" s="1" t="s">
        <v>17</v>
      </c>
      <c r="M439" s="2" t="s">
        <v>34</v>
      </c>
      <c r="N439" s="2">
        <v>1</v>
      </c>
      <c r="O439" s="2">
        <f>N439*C439</f>
        <v>573</v>
      </c>
    </row>
    <row r="440" spans="1:15" ht="12.75">
      <c r="A440" s="1">
        <v>10</v>
      </c>
      <c r="B440" s="1" t="s">
        <v>95</v>
      </c>
      <c r="C440" s="6">
        <v>269</v>
      </c>
      <c r="D440" s="10">
        <v>0.21180555555555555</v>
      </c>
      <c r="E440"/>
      <c r="F440" s="6" t="s">
        <v>96</v>
      </c>
      <c r="G440" s="11" t="s">
        <v>151</v>
      </c>
      <c r="H440" s="15" t="s">
        <v>148</v>
      </c>
      <c r="I440" s="9">
        <f>C440/D440/24</f>
        <v>52.91803278688525</v>
      </c>
      <c r="J440" s="9"/>
      <c r="K440" s="2" t="s">
        <v>16</v>
      </c>
      <c r="L440" s="1" t="s">
        <v>17</v>
      </c>
      <c r="M440" s="2" t="s">
        <v>34</v>
      </c>
      <c r="N440" s="2">
        <v>0.25</v>
      </c>
      <c r="O440" s="2">
        <f>N440*C440</f>
        <v>67.25</v>
      </c>
    </row>
    <row r="441" spans="1:15" ht="12.75">
      <c r="A441" s="1">
        <v>9</v>
      </c>
      <c r="B441" s="1" t="s">
        <v>98</v>
      </c>
      <c r="C441" s="6">
        <v>269</v>
      </c>
      <c r="D441" s="10">
        <v>0.21180555555555555</v>
      </c>
      <c r="E441"/>
      <c r="F441" s="6" t="s">
        <v>96</v>
      </c>
      <c r="G441" s="11" t="s">
        <v>151</v>
      </c>
      <c r="H441" s="15" t="s">
        <v>148</v>
      </c>
      <c r="I441" s="9">
        <f>C441/D441/24</f>
        <v>52.91803278688525</v>
      </c>
      <c r="J441" s="9"/>
      <c r="K441" s="2" t="s">
        <v>20</v>
      </c>
      <c r="L441" s="1" t="s">
        <v>17</v>
      </c>
      <c r="M441" s="2" t="s">
        <v>34</v>
      </c>
      <c r="N441" s="2">
        <v>0.25</v>
      </c>
      <c r="O441" s="2">
        <f>N441*C441</f>
        <v>67.25</v>
      </c>
    </row>
    <row r="442" spans="2:15" ht="12.75">
      <c r="B442" s="6"/>
      <c r="C442" s="6"/>
      <c r="D442" s="6"/>
      <c r="E442"/>
      <c r="F442" s="6"/>
      <c r="G442"/>
      <c r="H442" s="6"/>
      <c r="J442"/>
      <c r="L442" s="1"/>
      <c r="N442" s="4">
        <f>SUM(N430:N441)</f>
        <v>52.5</v>
      </c>
      <c r="O442" s="4">
        <f>SUM(O430:O441)</f>
        <v>14601.720000000001</v>
      </c>
    </row>
    <row r="443" spans="2:17" ht="12.75">
      <c r="B443"/>
      <c r="C443"/>
      <c r="D443"/>
      <c r="E443"/>
      <c r="F443"/>
      <c r="G443"/>
      <c r="H443"/>
      <c r="I443"/>
      <c r="J443"/>
      <c r="K443"/>
      <c r="L443"/>
      <c r="M443"/>
      <c r="N443"/>
      <c r="O443"/>
      <c r="P443"/>
      <c r="Q443"/>
    </row>
    <row r="444" spans="2:17" ht="12.75">
      <c r="B444"/>
      <c r="C444"/>
      <c r="D444"/>
      <c r="E444"/>
      <c r="F444"/>
      <c r="G444"/>
      <c r="H444"/>
      <c r="I444"/>
      <c r="J444"/>
      <c r="K444"/>
      <c r="L444" t="s">
        <v>29</v>
      </c>
      <c r="M444" s="2" t="s">
        <v>34</v>
      </c>
      <c r="N444" s="2">
        <f>SUM(N430:N437)</f>
        <v>50</v>
      </c>
      <c r="O444" s="2">
        <f>SUM(O430:O437)</f>
        <v>13321.220000000001</v>
      </c>
      <c r="P444" s="13">
        <f>N444/N442</f>
        <v>0.9523809523809523</v>
      </c>
      <c r="Q444" s="13">
        <f>O444/O442</f>
        <v>0.9123048517571902</v>
      </c>
    </row>
    <row r="445" spans="5:17" ht="12.75">
      <c r="E445"/>
      <c r="F445"/>
      <c r="G445"/>
      <c r="H445"/>
      <c r="I445"/>
      <c r="J445"/>
      <c r="L445" s="1" t="s">
        <v>17</v>
      </c>
      <c r="M445" s="2" t="s">
        <v>34</v>
      </c>
      <c r="N445" s="2">
        <f>SUM(N438:N441)</f>
        <v>2.5</v>
      </c>
      <c r="O445" s="2">
        <f>SUM(O438:O441)</f>
        <v>1280.5</v>
      </c>
      <c r="P445" s="13">
        <f>N445/N442</f>
        <v>0.047619047619047616</v>
      </c>
      <c r="Q445" s="13">
        <f>O445/O442</f>
        <v>0.08769514824280975</v>
      </c>
    </row>
    <row r="446" spans="2:13" ht="12.75">
      <c r="B446"/>
      <c r="C446"/>
      <c r="D446"/>
      <c r="E446"/>
      <c r="F446"/>
      <c r="G446"/>
      <c r="H446"/>
      <c r="I446"/>
      <c r="J446"/>
      <c r="K446"/>
      <c r="L446"/>
      <c r="M446"/>
    </row>
    <row r="447" spans="1:256" ht="12.75">
      <c r="A447" s="3">
        <v>2012</v>
      </c>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1:17" ht="12.75">
      <c r="A448" s="4" t="s">
        <v>0</v>
      </c>
      <c r="B448" s="4" t="s">
        <v>1</v>
      </c>
      <c r="C448" s="4" t="s">
        <v>2</v>
      </c>
      <c r="D448" s="4" t="s">
        <v>3</v>
      </c>
      <c r="E448" s="5" t="s">
        <v>4</v>
      </c>
      <c r="F448" s="4" t="s">
        <v>5</v>
      </c>
      <c r="G448" s="4" t="s">
        <v>6</v>
      </c>
      <c r="H448" s="4" t="s">
        <v>7</v>
      </c>
      <c r="I448" s="4" t="s">
        <v>8</v>
      </c>
      <c r="J448"/>
      <c r="K448" s="4" t="s">
        <v>9</v>
      </c>
      <c r="L448" s="4" t="s">
        <v>10</v>
      </c>
      <c r="M448" s="4" t="s">
        <v>11</v>
      </c>
      <c r="N448" s="4" t="s">
        <v>12</v>
      </c>
      <c r="O448" s="4" t="s">
        <v>13</v>
      </c>
      <c r="P448" s="4" t="s">
        <v>26</v>
      </c>
      <c r="Q448" s="4" t="s">
        <v>27</v>
      </c>
    </row>
    <row r="449" spans="1:15" ht="12.75">
      <c r="A449" s="6">
        <v>1</v>
      </c>
      <c r="B449" s="2" t="s">
        <v>52</v>
      </c>
      <c r="C449" s="6">
        <v>108</v>
      </c>
      <c r="D449" s="8">
        <v>0.2708333333333333</v>
      </c>
      <c r="E449" s="10">
        <f>D449-1/24*128/60</f>
        <v>0.18194444444444444</v>
      </c>
      <c r="F449" s="6" t="s">
        <v>116</v>
      </c>
      <c r="G449" s="6" t="s">
        <v>152</v>
      </c>
      <c r="H449" s="6"/>
      <c r="I449" s="9">
        <f>C449/D449/24</f>
        <v>16.615384615384617</v>
      </c>
      <c r="J449" s="9">
        <f>C449/E449/24</f>
        <v>24.732824427480917</v>
      </c>
      <c r="K449" s="2" t="s">
        <v>16</v>
      </c>
      <c r="L449" s="2" t="s">
        <v>29</v>
      </c>
      <c r="M449" s="2" t="s">
        <v>18</v>
      </c>
      <c r="N449" s="2">
        <v>3</v>
      </c>
      <c r="O449" s="2">
        <f>N449*C449</f>
        <v>324</v>
      </c>
    </row>
    <row r="450" spans="1:15" ht="12.75">
      <c r="A450" s="6">
        <v>2</v>
      </c>
      <c r="B450" s="2" t="s">
        <v>118</v>
      </c>
      <c r="C450" s="6">
        <v>108</v>
      </c>
      <c r="D450" s="8">
        <v>0.25</v>
      </c>
      <c r="E450" s="10">
        <f>D450-1/24*116/60</f>
        <v>0.16944444444444445</v>
      </c>
      <c r="F450" s="6" t="s">
        <v>116</v>
      </c>
      <c r="G450" s="6" t="s">
        <v>153</v>
      </c>
      <c r="H450" s="6"/>
      <c r="I450" s="9">
        <f>C450/D450/24</f>
        <v>18</v>
      </c>
      <c r="J450" s="9">
        <f>C450/E450/24</f>
        <v>26.557377049180328</v>
      </c>
      <c r="K450" s="2" t="s">
        <v>20</v>
      </c>
      <c r="L450" s="2" t="s">
        <v>29</v>
      </c>
      <c r="M450" s="2" t="s">
        <v>18</v>
      </c>
      <c r="N450" s="2">
        <v>2</v>
      </c>
      <c r="O450" s="2">
        <f>N450*C450</f>
        <v>216</v>
      </c>
    </row>
    <row r="451" spans="1:15" ht="12.75">
      <c r="A451" s="6">
        <v>21</v>
      </c>
      <c r="B451" s="2" t="s">
        <v>119</v>
      </c>
      <c r="C451" s="6">
        <v>44</v>
      </c>
      <c r="D451" s="8">
        <v>0.06944444444444445</v>
      </c>
      <c r="E451" s="10">
        <f>D451-1/24*3/60</f>
        <v>0.06736111111111111</v>
      </c>
      <c r="F451" s="6" t="s">
        <v>120</v>
      </c>
      <c r="G451" s="6" t="s">
        <v>154</v>
      </c>
      <c r="H451" t="s">
        <v>86</v>
      </c>
      <c r="I451" s="9">
        <f>C451/D451/24</f>
        <v>26.400000000000002</v>
      </c>
      <c r="J451" s="9">
        <f>C451/E451/24</f>
        <v>27.216494845360828</v>
      </c>
      <c r="K451" s="2" t="s">
        <v>16</v>
      </c>
      <c r="L451" s="2" t="s">
        <v>29</v>
      </c>
      <c r="M451" s="2" t="s">
        <v>18</v>
      </c>
      <c r="N451" s="2">
        <v>7</v>
      </c>
      <c r="O451" s="2">
        <f>N451*C451</f>
        <v>308</v>
      </c>
    </row>
    <row r="452" spans="1:15" ht="12.75">
      <c r="A452" s="6">
        <v>22</v>
      </c>
      <c r="B452" s="2" t="s">
        <v>122</v>
      </c>
      <c r="C452" s="6">
        <v>44</v>
      </c>
      <c r="D452" s="8">
        <v>0.06944444444444445</v>
      </c>
      <c r="E452" s="10">
        <f>D452-1/24*3/60</f>
        <v>0.06736111111111111</v>
      </c>
      <c r="F452" s="6" t="s">
        <v>120</v>
      </c>
      <c r="G452" s="6" t="s">
        <v>154</v>
      </c>
      <c r="H452" t="s">
        <v>86</v>
      </c>
      <c r="I452" s="9">
        <f>C452/D452/24</f>
        <v>26.400000000000002</v>
      </c>
      <c r="J452" s="9">
        <f>C452/E452/24</f>
        <v>27.216494845360828</v>
      </c>
      <c r="K452" s="2" t="s">
        <v>20</v>
      </c>
      <c r="L452" s="2" t="s">
        <v>29</v>
      </c>
      <c r="M452" s="2" t="s">
        <v>18</v>
      </c>
      <c r="N452" s="2">
        <v>7</v>
      </c>
      <c r="O452" s="2">
        <f>N452*C452</f>
        <v>308</v>
      </c>
    </row>
    <row r="453" spans="1:15" ht="12.75">
      <c r="A453" s="6">
        <v>23</v>
      </c>
      <c r="B453" s="2" t="s">
        <v>119</v>
      </c>
      <c r="C453" s="6">
        <v>44</v>
      </c>
      <c r="D453" s="8">
        <v>0.06944444444444445</v>
      </c>
      <c r="E453" s="10">
        <f>D453-1/24*3/60</f>
        <v>0.06736111111111111</v>
      </c>
      <c r="F453" s="6" t="s">
        <v>120</v>
      </c>
      <c r="G453" s="6" t="s">
        <v>155</v>
      </c>
      <c r="H453" t="s">
        <v>86</v>
      </c>
      <c r="I453" s="9">
        <f>C453/D453/24</f>
        <v>26.400000000000002</v>
      </c>
      <c r="J453" s="9">
        <f>C453/E453/24</f>
        <v>27.216494845360828</v>
      </c>
      <c r="K453" s="2" t="s">
        <v>16</v>
      </c>
      <c r="L453" s="2" t="s">
        <v>29</v>
      </c>
      <c r="M453" s="2" t="s">
        <v>18</v>
      </c>
      <c r="N453" s="2">
        <v>6</v>
      </c>
      <c r="O453" s="2">
        <f>N453*C453</f>
        <v>264</v>
      </c>
    </row>
    <row r="454" spans="1:15" ht="12.75">
      <c r="A454" s="6">
        <v>24</v>
      </c>
      <c r="B454" s="2" t="s">
        <v>122</v>
      </c>
      <c r="C454" s="6">
        <v>44</v>
      </c>
      <c r="D454" s="8">
        <v>0.07291666666666667</v>
      </c>
      <c r="E454" s="10">
        <f>D454-1/24*3/60</f>
        <v>0.07083333333333333</v>
      </c>
      <c r="F454" s="6" t="s">
        <v>120</v>
      </c>
      <c r="G454" s="6" t="s">
        <v>155</v>
      </c>
      <c r="H454" t="s">
        <v>86</v>
      </c>
      <c r="I454" s="9">
        <f>C454/D454/24</f>
        <v>25.142857142857142</v>
      </c>
      <c r="J454" s="9">
        <f>C454/E454/24</f>
        <v>25.882352941176475</v>
      </c>
      <c r="K454" s="2" t="s">
        <v>20</v>
      </c>
      <c r="L454" s="2" t="s">
        <v>29</v>
      </c>
      <c r="M454" s="2" t="s">
        <v>18</v>
      </c>
      <c r="N454" s="2">
        <v>6</v>
      </c>
      <c r="O454" s="2">
        <f>N454*C454</f>
        <v>264</v>
      </c>
    </row>
    <row r="455" spans="1:15" ht="12.75">
      <c r="A455" s="6">
        <v>31</v>
      </c>
      <c r="B455" s="2" t="s">
        <v>124</v>
      </c>
      <c r="C455" s="6">
        <v>32</v>
      </c>
      <c r="D455" s="8">
        <v>0.05347222222222222</v>
      </c>
      <c r="E455"/>
      <c r="F455" s="6" t="s">
        <v>125</v>
      </c>
      <c r="G455" s="6" t="s">
        <v>156</v>
      </c>
      <c r="H455" t="s">
        <v>86</v>
      </c>
      <c r="I455" s="9">
        <f>C455/D455/24</f>
        <v>24.93506493506494</v>
      </c>
      <c r="J455"/>
      <c r="K455" s="2" t="s">
        <v>16</v>
      </c>
      <c r="L455" s="2" t="s">
        <v>29</v>
      </c>
      <c r="M455" s="2" t="s">
        <v>18</v>
      </c>
      <c r="N455" s="2">
        <v>7</v>
      </c>
      <c r="O455" s="2">
        <f>N455*C455</f>
        <v>224</v>
      </c>
    </row>
    <row r="456" spans="1:15" ht="12.75">
      <c r="A456" s="6">
        <v>32</v>
      </c>
      <c r="B456" s="2" t="s">
        <v>127</v>
      </c>
      <c r="C456" s="6">
        <v>32</v>
      </c>
      <c r="D456" s="8">
        <v>0.05486111111111111</v>
      </c>
      <c r="E456"/>
      <c r="F456" s="6" t="s">
        <v>125</v>
      </c>
      <c r="G456" s="6" t="s">
        <v>156</v>
      </c>
      <c r="H456" t="s">
        <v>86</v>
      </c>
      <c r="I456" s="9">
        <f>C456/D456/24</f>
        <v>24.303797468354432</v>
      </c>
      <c r="J456"/>
      <c r="K456" s="2" t="s">
        <v>20</v>
      </c>
      <c r="L456" s="2" t="s">
        <v>29</v>
      </c>
      <c r="M456" s="2" t="s">
        <v>18</v>
      </c>
      <c r="N456" s="2">
        <v>7</v>
      </c>
      <c r="O456" s="2">
        <f>N456*C456</f>
        <v>224</v>
      </c>
    </row>
    <row r="457" spans="1:15" ht="12.75">
      <c r="A457" s="6">
        <v>41</v>
      </c>
      <c r="B457" s="2" t="s">
        <v>124</v>
      </c>
      <c r="C457" s="6">
        <v>32</v>
      </c>
      <c r="D457" s="8">
        <v>0.05347222222222222</v>
      </c>
      <c r="E457"/>
      <c r="F457" s="6" t="s">
        <v>125</v>
      </c>
      <c r="G457" s="6" t="s">
        <v>156</v>
      </c>
      <c r="H457" t="s">
        <v>86</v>
      </c>
      <c r="I457" s="9">
        <f>C457/D457/24</f>
        <v>24.93506493506494</v>
      </c>
      <c r="J457"/>
      <c r="K457" s="2" t="s">
        <v>16</v>
      </c>
      <c r="L457" s="2" t="s">
        <v>29</v>
      </c>
      <c r="M457" s="2" t="s">
        <v>18</v>
      </c>
      <c r="N457" s="2">
        <v>7</v>
      </c>
      <c r="O457" s="2">
        <f>N457*C457</f>
        <v>224</v>
      </c>
    </row>
    <row r="458" spans="1:15" ht="12.75">
      <c r="A458" s="6">
        <v>42</v>
      </c>
      <c r="B458" s="2" t="s">
        <v>127</v>
      </c>
      <c r="C458" s="6">
        <v>32</v>
      </c>
      <c r="D458" s="8">
        <v>0.05486111111111111</v>
      </c>
      <c r="E458"/>
      <c r="F458" s="6" t="s">
        <v>125</v>
      </c>
      <c r="G458" s="6" t="s">
        <v>156</v>
      </c>
      <c r="H458" t="s">
        <v>86</v>
      </c>
      <c r="I458" s="9">
        <f>C458/D458/24</f>
        <v>24.303797468354432</v>
      </c>
      <c r="J458"/>
      <c r="K458" s="2" t="s">
        <v>20</v>
      </c>
      <c r="L458" s="2" t="s">
        <v>29</v>
      </c>
      <c r="M458" s="2" t="s">
        <v>18</v>
      </c>
      <c r="N458" s="2">
        <v>7</v>
      </c>
      <c r="O458" s="2">
        <f>N458*C458</f>
        <v>224</v>
      </c>
    </row>
    <row r="459" spans="1:15" ht="12.75">
      <c r="A459" s="6">
        <v>51</v>
      </c>
      <c r="B459" s="2" t="s">
        <v>124</v>
      </c>
      <c r="C459" s="6">
        <v>32</v>
      </c>
      <c r="D459" s="8">
        <v>0.05347222222222222</v>
      </c>
      <c r="E459"/>
      <c r="F459" s="6" t="s">
        <v>125</v>
      </c>
      <c r="G459" s="6" t="s">
        <v>157</v>
      </c>
      <c r="H459" t="s">
        <v>86</v>
      </c>
      <c r="I459" s="9">
        <f>C459/D459/24</f>
        <v>24.93506493506494</v>
      </c>
      <c r="J459"/>
      <c r="K459" s="2" t="s">
        <v>16</v>
      </c>
      <c r="L459" s="2" t="s">
        <v>29</v>
      </c>
      <c r="M459" s="2" t="s">
        <v>18</v>
      </c>
      <c r="N459" s="2">
        <v>2</v>
      </c>
      <c r="O459" s="2">
        <f>N459*C459</f>
        <v>64</v>
      </c>
    </row>
    <row r="460" spans="1:15" ht="12.75">
      <c r="A460" s="6">
        <v>52</v>
      </c>
      <c r="B460" s="2" t="s">
        <v>127</v>
      </c>
      <c r="C460" s="6">
        <v>32</v>
      </c>
      <c r="D460" s="8">
        <v>0.05486111111111111</v>
      </c>
      <c r="E460"/>
      <c r="F460" s="6" t="s">
        <v>125</v>
      </c>
      <c r="G460" s="6" t="s">
        <v>157</v>
      </c>
      <c r="H460" t="s">
        <v>86</v>
      </c>
      <c r="I460" s="9">
        <f>C460/D460/24</f>
        <v>24.303797468354432</v>
      </c>
      <c r="J460"/>
      <c r="K460" s="2" t="s">
        <v>20</v>
      </c>
      <c r="L460" s="2" t="s">
        <v>29</v>
      </c>
      <c r="M460" s="2" t="s">
        <v>18</v>
      </c>
      <c r="N460" s="2">
        <v>2</v>
      </c>
      <c r="O460" s="2">
        <f>N460*C460</f>
        <v>64</v>
      </c>
    </row>
    <row r="461" spans="1:15" ht="12.75">
      <c r="A461" s="6" t="s">
        <v>129</v>
      </c>
      <c r="B461" s="2" t="s">
        <v>119</v>
      </c>
      <c r="C461" s="6">
        <v>44</v>
      </c>
      <c r="D461" s="8">
        <v>0.06944444444444445</v>
      </c>
      <c r="E461" s="10">
        <f>D461-1/24*3/60</f>
        <v>0.06736111111111111</v>
      </c>
      <c r="F461" s="6" t="s">
        <v>130</v>
      </c>
      <c r="G461" s="6" t="s">
        <v>158</v>
      </c>
      <c r="H461" s="6"/>
      <c r="I461" s="9">
        <f>C461/D461/24</f>
        <v>26.400000000000002</v>
      </c>
      <c r="J461" s="9">
        <f>C461/E461/24</f>
        <v>27.216494845360828</v>
      </c>
      <c r="K461" s="2" t="s">
        <v>16</v>
      </c>
      <c r="L461" s="2" t="s">
        <v>29</v>
      </c>
      <c r="M461" s="2" t="s">
        <v>18</v>
      </c>
      <c r="N461" s="2">
        <v>1</v>
      </c>
      <c r="O461" s="2">
        <f>N461*C461</f>
        <v>44</v>
      </c>
    </row>
    <row r="462" spans="1:15" ht="12.75">
      <c r="A462" s="6" t="s">
        <v>129</v>
      </c>
      <c r="B462" s="2" t="s">
        <v>122</v>
      </c>
      <c r="C462" s="6">
        <v>44</v>
      </c>
      <c r="D462" s="8">
        <v>0.07291666666666667</v>
      </c>
      <c r="E462" s="10">
        <f>D462-1/24*3/60</f>
        <v>0.07083333333333333</v>
      </c>
      <c r="F462" s="6" t="s">
        <v>130</v>
      </c>
      <c r="G462" s="6" t="s">
        <v>158</v>
      </c>
      <c r="H462" s="6"/>
      <c r="I462" s="9">
        <f>C462/D462/24</f>
        <v>25.142857142857142</v>
      </c>
      <c r="J462" s="9">
        <f>C462/E462/24</f>
        <v>25.882352941176475</v>
      </c>
      <c r="K462" s="2" t="s">
        <v>20</v>
      </c>
      <c r="L462" s="2" t="s">
        <v>29</v>
      </c>
      <c r="M462" s="2" t="s">
        <v>18</v>
      </c>
      <c r="N462" s="2">
        <v>1</v>
      </c>
      <c r="O462" s="2">
        <f>N462*C462</f>
        <v>44</v>
      </c>
    </row>
    <row r="463" spans="1:15" ht="12.75">
      <c r="A463"/>
      <c r="B463" s="1" t="s">
        <v>24</v>
      </c>
      <c r="C463" s="18">
        <v>178.23</v>
      </c>
      <c r="D463" s="8">
        <v>0.17708333333333334</v>
      </c>
      <c r="E463"/>
      <c r="F463" s="6" t="s">
        <v>80</v>
      </c>
      <c r="G463" s="6" t="s">
        <v>121</v>
      </c>
      <c r="H463" s="15" t="s">
        <v>159</v>
      </c>
      <c r="I463" s="9">
        <f>C463/D463/24</f>
        <v>41.93647058823529</v>
      </c>
      <c r="J463"/>
      <c r="K463" s="2" t="s">
        <v>20</v>
      </c>
      <c r="L463" s="1" t="s">
        <v>29</v>
      </c>
      <c r="M463" s="2" t="s">
        <v>34</v>
      </c>
      <c r="N463" s="2">
        <v>7</v>
      </c>
      <c r="O463" s="2">
        <f>N463*C463</f>
        <v>1247.61</v>
      </c>
    </row>
    <row r="464" spans="1:15" ht="12.75">
      <c r="A464"/>
      <c r="B464" s="1" t="s">
        <v>21</v>
      </c>
      <c r="C464" s="18">
        <v>178.23</v>
      </c>
      <c r="D464" s="8">
        <v>0.18055555555555555</v>
      </c>
      <c r="E464"/>
      <c r="F464" s="6" t="s">
        <v>80</v>
      </c>
      <c r="G464" s="6" t="s">
        <v>121</v>
      </c>
      <c r="H464" s="15" t="s">
        <v>159</v>
      </c>
      <c r="I464" s="9">
        <f>C464/D464/24</f>
        <v>41.13</v>
      </c>
      <c r="J464"/>
      <c r="K464" s="2" t="s">
        <v>16</v>
      </c>
      <c r="L464" s="1" t="s">
        <v>29</v>
      </c>
      <c r="M464" s="2" t="s">
        <v>34</v>
      </c>
      <c r="N464" s="2">
        <v>7</v>
      </c>
      <c r="O464" s="2">
        <f>N464*C464</f>
        <v>1247.61</v>
      </c>
    </row>
    <row r="465" spans="1:15" ht="12.75">
      <c r="A465" s="1">
        <v>2</v>
      </c>
      <c r="B465" s="6" t="s">
        <v>56</v>
      </c>
      <c r="C465" s="6">
        <v>573</v>
      </c>
      <c r="D465" s="8">
        <v>0.4895833333333333</v>
      </c>
      <c r="E465" s="10">
        <f>D465-1/24*25/60</f>
        <v>0.4722222222222222</v>
      </c>
      <c r="F465" s="6" t="s">
        <v>83</v>
      </c>
      <c r="G465" s="6" t="s">
        <v>138</v>
      </c>
      <c r="H465" s="15" t="s">
        <v>159</v>
      </c>
      <c r="I465" s="9">
        <f>C465/D465/24</f>
        <v>48.76595744680851</v>
      </c>
      <c r="J465" s="9">
        <f>C465/E465/24</f>
        <v>50.55882352941177</v>
      </c>
      <c r="K465" s="2" t="s">
        <v>16</v>
      </c>
      <c r="L465" s="1" t="s">
        <v>29</v>
      </c>
      <c r="M465" s="2" t="s">
        <v>34</v>
      </c>
      <c r="N465" s="2">
        <v>7</v>
      </c>
      <c r="O465" s="2">
        <f>N465*C465</f>
        <v>4011</v>
      </c>
    </row>
    <row r="466" spans="1:15" ht="12.75">
      <c r="A466" s="1">
        <v>1</v>
      </c>
      <c r="B466" s="1" t="s">
        <v>59</v>
      </c>
      <c r="C466" s="6">
        <v>573</v>
      </c>
      <c r="D466" s="8">
        <v>0.4895833333333333</v>
      </c>
      <c r="E466" s="10">
        <f>D466-1/24*25/60</f>
        <v>0.4722222222222222</v>
      </c>
      <c r="F466" s="6" t="s">
        <v>83</v>
      </c>
      <c r="G466" s="6" t="s">
        <v>160</v>
      </c>
      <c r="H466" s="15" t="s">
        <v>159</v>
      </c>
      <c r="I466" s="9">
        <f>C466/D466/24</f>
        <v>48.76595744680851</v>
      </c>
      <c r="J466" s="9">
        <f>C466/E466/24</f>
        <v>50.55882352941177</v>
      </c>
      <c r="K466" s="2" t="s">
        <v>20</v>
      </c>
      <c r="L466" s="1" t="s">
        <v>29</v>
      </c>
      <c r="M466" s="2" t="s">
        <v>34</v>
      </c>
      <c r="N466" s="2">
        <v>7</v>
      </c>
      <c r="O466" s="2">
        <f>N466*C466</f>
        <v>4011</v>
      </c>
    </row>
    <row r="467" spans="2:15" ht="12.75">
      <c r="B467" s="1" t="s">
        <v>103</v>
      </c>
      <c r="C467" s="1">
        <v>150</v>
      </c>
      <c r="D467" s="8">
        <v>0.23958333333333334</v>
      </c>
      <c r="E467" s="10">
        <f>D467-1/24</f>
        <v>0.19791666666666669</v>
      </c>
      <c r="F467" s="6" t="s">
        <v>85</v>
      </c>
      <c r="G467" s="6" t="s">
        <v>161</v>
      </c>
      <c r="H467" s="6" t="s">
        <v>162</v>
      </c>
      <c r="I467" s="9">
        <f>C467/D467/24</f>
        <v>26.08695652173913</v>
      </c>
      <c r="J467" s="9">
        <f>C467/E467/24</f>
        <v>31.57894736842105</v>
      </c>
      <c r="K467" s="2" t="s">
        <v>20</v>
      </c>
      <c r="L467" s="1" t="s">
        <v>29</v>
      </c>
      <c r="M467" s="2" t="s">
        <v>34</v>
      </c>
      <c r="N467" s="2">
        <v>7</v>
      </c>
      <c r="O467" s="2">
        <f>N467*C467</f>
        <v>1050</v>
      </c>
    </row>
    <row r="468" spans="2:15" ht="12.75">
      <c r="B468" s="1" t="s">
        <v>104</v>
      </c>
      <c r="C468" s="1">
        <v>150</v>
      </c>
      <c r="D468" s="8">
        <v>0.2326388888888889</v>
      </c>
      <c r="E468" s="10">
        <f>D468-1.5/24</f>
        <v>0.1701388888888889</v>
      </c>
      <c r="F468" s="6" t="s">
        <v>85</v>
      </c>
      <c r="G468" s="6" t="s">
        <v>161</v>
      </c>
      <c r="H468" s="6" t="s">
        <v>162</v>
      </c>
      <c r="I468" s="9">
        <f>C468/D468/24</f>
        <v>26.865671641791042</v>
      </c>
      <c r="J468" s="9">
        <f>C468/E468/24</f>
        <v>36.73469387755102</v>
      </c>
      <c r="K468" s="2" t="s">
        <v>16</v>
      </c>
      <c r="L468" s="1" t="s">
        <v>29</v>
      </c>
      <c r="M468" s="2" t="s">
        <v>34</v>
      </c>
      <c r="N468" s="2">
        <v>7</v>
      </c>
      <c r="O468" s="2">
        <f>N468*C468</f>
        <v>1050</v>
      </c>
    </row>
    <row r="469" spans="1:15" ht="12.75">
      <c r="A469" s="1">
        <v>4</v>
      </c>
      <c r="B469" s="6" t="s">
        <v>87</v>
      </c>
      <c r="C469" s="6">
        <v>88</v>
      </c>
      <c r="D469" s="8">
        <v>0.08333333333333333</v>
      </c>
      <c r="E469"/>
      <c r="F469" s="6" t="s">
        <v>88</v>
      </c>
      <c r="G469" s="6" t="s">
        <v>163</v>
      </c>
      <c r="H469" t="s">
        <v>148</v>
      </c>
      <c r="I469" s="9">
        <f>C469/D469/24</f>
        <v>44</v>
      </c>
      <c r="J469"/>
      <c r="K469" s="2" t="s">
        <v>16</v>
      </c>
      <c r="L469" s="1" t="s">
        <v>29</v>
      </c>
      <c r="M469" s="2" t="s">
        <v>34</v>
      </c>
      <c r="N469" s="2">
        <v>4</v>
      </c>
      <c r="O469" s="2">
        <f>N469*C469</f>
        <v>352</v>
      </c>
    </row>
    <row r="470" spans="1:15" ht="12.75">
      <c r="A470" s="1">
        <v>3</v>
      </c>
      <c r="B470" s="1" t="s">
        <v>91</v>
      </c>
      <c r="C470" s="6">
        <v>88</v>
      </c>
      <c r="D470" s="8">
        <v>0.09375</v>
      </c>
      <c r="E470"/>
      <c r="F470" s="6" t="s">
        <v>88</v>
      </c>
      <c r="G470" s="6" t="s">
        <v>163</v>
      </c>
      <c r="H470" t="s">
        <v>148</v>
      </c>
      <c r="I470" s="9">
        <f>C470/D470/24</f>
        <v>39.11111111111111</v>
      </c>
      <c r="J470"/>
      <c r="K470" s="2" t="s">
        <v>20</v>
      </c>
      <c r="L470" s="1" t="s">
        <v>29</v>
      </c>
      <c r="M470" s="2" t="s">
        <v>34</v>
      </c>
      <c r="N470" s="2">
        <v>4</v>
      </c>
      <c r="O470" s="2">
        <f>N470*C470</f>
        <v>352</v>
      </c>
    </row>
    <row r="471" spans="1:15" ht="12.75">
      <c r="A471" s="1">
        <v>10</v>
      </c>
      <c r="B471" s="6" t="s">
        <v>56</v>
      </c>
      <c r="C471" s="6">
        <v>573</v>
      </c>
      <c r="D471" s="8">
        <v>0.4791666666666667</v>
      </c>
      <c r="E471"/>
      <c r="F471" s="6" t="s">
        <v>92</v>
      </c>
      <c r="G471" s="6" t="s">
        <v>93</v>
      </c>
      <c r="H471" s="6" t="s">
        <v>162</v>
      </c>
      <c r="I471" s="9">
        <f>C471/D471/24</f>
        <v>49.82608695652174</v>
      </c>
      <c r="J471"/>
      <c r="K471" s="2" t="s">
        <v>16</v>
      </c>
      <c r="L471" s="1" t="s">
        <v>17</v>
      </c>
      <c r="M471" s="2" t="s">
        <v>34</v>
      </c>
      <c r="N471" s="2">
        <v>1</v>
      </c>
      <c r="O471" s="2">
        <f>N471*C471</f>
        <v>573</v>
      </c>
    </row>
    <row r="472" spans="1:15" ht="12.75">
      <c r="A472" s="1">
        <v>9</v>
      </c>
      <c r="B472" s="1" t="s">
        <v>59</v>
      </c>
      <c r="C472" s="6">
        <v>573</v>
      </c>
      <c r="D472" s="8">
        <v>0.4791666666666667</v>
      </c>
      <c r="E472"/>
      <c r="F472" s="6" t="s">
        <v>92</v>
      </c>
      <c r="G472" s="6" t="s">
        <v>114</v>
      </c>
      <c r="H472" s="6" t="s">
        <v>162</v>
      </c>
      <c r="I472" s="9">
        <f>C472/D472/24</f>
        <v>49.82608695652174</v>
      </c>
      <c r="J472"/>
      <c r="K472" s="2" t="s">
        <v>20</v>
      </c>
      <c r="L472" s="1" t="s">
        <v>17</v>
      </c>
      <c r="M472" s="2" t="s">
        <v>34</v>
      </c>
      <c r="N472" s="2">
        <v>1</v>
      </c>
      <c r="O472" s="2">
        <f>N472*C472</f>
        <v>573</v>
      </c>
    </row>
    <row r="473" spans="1:15" ht="12.75">
      <c r="A473" s="1">
        <v>10</v>
      </c>
      <c r="B473" s="1" t="s">
        <v>95</v>
      </c>
      <c r="C473" s="6">
        <v>269</v>
      </c>
      <c r="D473" s="8">
        <v>0.2152777777777778</v>
      </c>
      <c r="E473"/>
      <c r="F473" s="6" t="s">
        <v>96</v>
      </c>
      <c r="G473" s="6" t="s">
        <v>164</v>
      </c>
      <c r="H473" t="s">
        <v>148</v>
      </c>
      <c r="I473" s="9">
        <f>C473/D473/24</f>
        <v>52.064516129032256</v>
      </c>
      <c r="J473"/>
      <c r="K473" s="2" t="s">
        <v>16</v>
      </c>
      <c r="L473" s="1" t="s">
        <v>17</v>
      </c>
      <c r="M473" s="2" t="s">
        <v>34</v>
      </c>
      <c r="N473" s="2">
        <v>0.25</v>
      </c>
      <c r="O473" s="2">
        <f>N473*C473</f>
        <v>67.25</v>
      </c>
    </row>
    <row r="474" spans="1:15" ht="12.75">
      <c r="A474" s="1">
        <v>9</v>
      </c>
      <c r="B474" s="1" t="s">
        <v>98</v>
      </c>
      <c r="C474" s="6">
        <v>269</v>
      </c>
      <c r="D474" s="8">
        <v>0.21875</v>
      </c>
      <c r="E474"/>
      <c r="F474" s="6" t="s">
        <v>96</v>
      </c>
      <c r="G474" s="6" t="s">
        <v>164</v>
      </c>
      <c r="H474" t="s">
        <v>148</v>
      </c>
      <c r="I474" s="9">
        <f>C474/D474/24</f>
        <v>51.23809523809524</v>
      </c>
      <c r="J474"/>
      <c r="K474" s="2" t="s">
        <v>20</v>
      </c>
      <c r="L474" s="1" t="s">
        <v>17</v>
      </c>
      <c r="M474" s="2" t="s">
        <v>34</v>
      </c>
      <c r="N474" s="2">
        <v>0.25</v>
      </c>
      <c r="O474" s="2">
        <f>N474*C474</f>
        <v>67.25</v>
      </c>
    </row>
    <row r="475" spans="2:12" ht="12.75">
      <c r="B475" s="6"/>
      <c r="C475" s="6"/>
      <c r="D475" s="6"/>
      <c r="E475"/>
      <c r="F475" s="6"/>
      <c r="G475" s="6"/>
      <c r="H475" s="6"/>
      <c r="J475"/>
      <c r="L475" s="1"/>
    </row>
    <row r="476" spans="2:17" ht="12.75">
      <c r="B476"/>
      <c r="C476"/>
      <c r="D476"/>
      <c r="E476"/>
      <c r="F476"/>
      <c r="G476"/>
      <c r="H476"/>
      <c r="I476"/>
      <c r="J476"/>
      <c r="K476"/>
      <c r="L476" s="1" t="s">
        <v>29</v>
      </c>
      <c r="M476" s="2" t="s">
        <v>18</v>
      </c>
      <c r="N476" s="2">
        <f>SUM(N449:N462)</f>
        <v>65</v>
      </c>
      <c r="O476" s="2">
        <f>SUM(O449:O462)</f>
        <v>2796</v>
      </c>
      <c r="P476" s="13">
        <f>N476/N478</f>
        <v>0.5652173913043478</v>
      </c>
      <c r="Q476" s="13">
        <f>O476/O478</f>
        <v>0.17347904911641088</v>
      </c>
    </row>
    <row r="477" spans="2:17" ht="12.75">
      <c r="B477"/>
      <c r="C477"/>
      <c r="D477"/>
      <c r="E477"/>
      <c r="F477"/>
      <c r="G477"/>
      <c r="H477"/>
      <c r="I477"/>
      <c r="J477"/>
      <c r="K477"/>
      <c r="L477" t="s">
        <v>29</v>
      </c>
      <c r="M477" s="2" t="s">
        <v>34</v>
      </c>
      <c r="N477" s="2">
        <f>SUM(N463:N470)</f>
        <v>50</v>
      </c>
      <c r="O477" s="2">
        <f>SUM(O463:O470)</f>
        <v>13321.220000000001</v>
      </c>
      <c r="P477" s="13">
        <f>N477/N478</f>
        <v>0.43478260869565216</v>
      </c>
      <c r="Q477" s="13">
        <f>O477/O478</f>
        <v>0.8265209508835891</v>
      </c>
    </row>
    <row r="478" spans="5:15" ht="12.75">
      <c r="E478"/>
      <c r="J478"/>
      <c r="L478" t="s">
        <v>29</v>
      </c>
      <c r="M478" t="s">
        <v>25</v>
      </c>
      <c r="N478" s="2">
        <f>N477+N476</f>
        <v>115</v>
      </c>
      <c r="O478" s="2">
        <f>O477+O476</f>
        <v>16117.220000000001</v>
      </c>
    </row>
    <row r="479" spans="2:13" ht="12.75">
      <c r="B479"/>
      <c r="C479"/>
      <c r="D479"/>
      <c r="E479"/>
      <c r="F479"/>
      <c r="G479"/>
      <c r="H479"/>
      <c r="I479"/>
      <c r="J479"/>
      <c r="K479"/>
      <c r="L479"/>
      <c r="M479"/>
    </row>
    <row r="480" spans="2:17" ht="12.75">
      <c r="B480"/>
      <c r="C480"/>
      <c r="D480"/>
      <c r="E480"/>
      <c r="F480"/>
      <c r="G480"/>
      <c r="H480"/>
      <c r="I480"/>
      <c r="J480"/>
      <c r="K480"/>
      <c r="L480" s="1" t="s">
        <v>17</v>
      </c>
      <c r="M480" s="2" t="s">
        <v>34</v>
      </c>
      <c r="N480" s="2">
        <f>SUM(N471:N474)</f>
        <v>2.5</v>
      </c>
      <c r="O480" s="2">
        <f>SUM(O471:O474)</f>
        <v>1280.5</v>
      </c>
      <c r="P480" s="13">
        <f>N480/N477</f>
        <v>0.05</v>
      </c>
      <c r="Q480" s="13">
        <f>O480/O477</f>
        <v>0.09612482940751672</v>
      </c>
    </row>
    <row r="481" spans="2:15" ht="12.75">
      <c r="B481"/>
      <c r="C481"/>
      <c r="D481"/>
      <c r="E481"/>
      <c r="F481"/>
      <c r="G481"/>
      <c r="H481"/>
      <c r="I481"/>
      <c r="J481"/>
      <c r="K481"/>
      <c r="L481"/>
      <c r="M481"/>
      <c r="N481"/>
      <c r="O481"/>
    </row>
    <row r="482" ht="12.75">
      <c r="A482" s="4">
        <v>2015</v>
      </c>
    </row>
    <row r="483" spans="1:21" ht="12.75">
      <c r="A483" s="5" t="s">
        <v>0</v>
      </c>
      <c r="B483" s="5" t="s">
        <v>1</v>
      </c>
      <c r="C483" s="5" t="s">
        <v>2</v>
      </c>
      <c r="D483" s="5" t="s">
        <v>3</v>
      </c>
      <c r="E483" s="5" t="s">
        <v>4</v>
      </c>
      <c r="F483" s="5" t="s">
        <v>5</v>
      </c>
      <c r="G483" s="5" t="s">
        <v>6</v>
      </c>
      <c r="H483" s="5" t="s">
        <v>7</v>
      </c>
      <c r="I483" s="5" t="s">
        <v>8</v>
      </c>
      <c r="J483" s="5" t="s">
        <v>4</v>
      </c>
      <c r="K483" s="5" t="s">
        <v>9</v>
      </c>
      <c r="L483" s="5" t="s">
        <v>10</v>
      </c>
      <c r="M483" s="5" t="s">
        <v>11</v>
      </c>
      <c r="N483" s="5" t="s">
        <v>12</v>
      </c>
      <c r="O483" s="5" t="s">
        <v>13</v>
      </c>
      <c r="P483" s="5" t="s">
        <v>165</v>
      </c>
      <c r="Q483" s="5" t="s">
        <v>166</v>
      </c>
      <c r="R483" s="5" t="s">
        <v>167</v>
      </c>
      <c r="S483" s="5" t="s">
        <v>168</v>
      </c>
      <c r="T483" s="5" t="s">
        <v>169</v>
      </c>
      <c r="U483" s="6"/>
    </row>
    <row r="484" spans="1:19" ht="12.75">
      <c r="A484" s="6">
        <v>1</v>
      </c>
      <c r="B484" s="2" t="s">
        <v>52</v>
      </c>
      <c r="C484" s="18">
        <v>107.63</v>
      </c>
      <c r="D484" s="10">
        <v>0.22916666666666666</v>
      </c>
      <c r="E484" s="10">
        <v>0.15763888888888888</v>
      </c>
      <c r="F484" s="6" t="s">
        <v>116</v>
      </c>
      <c r="G484" t="s">
        <v>170</v>
      </c>
      <c r="H484"/>
      <c r="I484" s="9">
        <f>C484/D484/24</f>
        <v>19.56909090909091</v>
      </c>
      <c r="J484" s="9">
        <f>C484/E484/24</f>
        <v>28.448458149779736</v>
      </c>
      <c r="K484" s="2" t="s">
        <v>16</v>
      </c>
      <c r="L484" s="2" t="s">
        <v>29</v>
      </c>
      <c r="M484" s="2" t="s">
        <v>18</v>
      </c>
      <c r="N484">
        <v>4</v>
      </c>
      <c r="O484" s="2">
        <f>N484*C484</f>
        <v>430.52</v>
      </c>
      <c r="P484" s="2" t="s">
        <v>171</v>
      </c>
      <c r="Q484"/>
      <c r="R484"/>
      <c r="S484"/>
    </row>
    <row r="485" spans="1:19" ht="12.75">
      <c r="A485" s="6">
        <v>2</v>
      </c>
      <c r="B485" s="2" t="s">
        <v>118</v>
      </c>
      <c r="C485" s="18">
        <v>107.63</v>
      </c>
      <c r="D485" s="24">
        <v>0.21875</v>
      </c>
      <c r="E485" s="24">
        <v>0.16319444444444445</v>
      </c>
      <c r="F485" s="6" t="s">
        <v>116</v>
      </c>
      <c r="G485" t="s">
        <v>172</v>
      </c>
      <c r="I485" s="9">
        <f>C485/D485/24</f>
        <v>20.50095238095238</v>
      </c>
      <c r="J485" s="9">
        <f>C485/E485/24</f>
        <v>27.48</v>
      </c>
      <c r="K485" s="2" t="s">
        <v>20</v>
      </c>
      <c r="L485" s="2" t="s">
        <v>29</v>
      </c>
      <c r="M485" s="2" t="s">
        <v>18</v>
      </c>
      <c r="N485" s="2">
        <v>1</v>
      </c>
      <c r="O485" s="2">
        <f>N485*C485</f>
        <v>107.63</v>
      </c>
      <c r="P485" s="2" t="s">
        <v>171</v>
      </c>
      <c r="R485"/>
      <c r="S485"/>
    </row>
    <row r="486" spans="1:18" ht="12.75">
      <c r="A486" s="6">
        <v>21</v>
      </c>
      <c r="B486" s="2" t="s">
        <v>119</v>
      </c>
      <c r="C486" s="25">
        <v>40.9</v>
      </c>
      <c r="D486" s="10">
        <v>0.07291666666666667</v>
      </c>
      <c r="E486" s="10">
        <v>0.07083333333333333</v>
      </c>
      <c r="F486" s="6" t="s">
        <v>120</v>
      </c>
      <c r="G486" t="s">
        <v>173</v>
      </c>
      <c r="H486" t="s">
        <v>86</v>
      </c>
      <c r="I486" s="9">
        <f>C486/D486/24</f>
        <v>23.37142857142857</v>
      </c>
      <c r="J486" s="9">
        <f>C486/E486/24</f>
        <v>24.058823529411764</v>
      </c>
      <c r="K486" s="2" t="s">
        <v>16</v>
      </c>
      <c r="L486" s="2" t="s">
        <v>29</v>
      </c>
      <c r="M486" s="2" t="s">
        <v>18</v>
      </c>
      <c r="N486">
        <v>7</v>
      </c>
      <c r="O486" s="2">
        <f>N486*C486</f>
        <v>286.3</v>
      </c>
      <c r="P486" s="2" t="s">
        <v>171</v>
      </c>
      <c r="R486"/>
    </row>
    <row r="487" spans="1:18" ht="12.75">
      <c r="A487" s="6">
        <v>22</v>
      </c>
      <c r="B487" s="2" t="s">
        <v>122</v>
      </c>
      <c r="C487" s="18">
        <v>43.63</v>
      </c>
      <c r="D487" s="24">
        <v>0.07291666666666667</v>
      </c>
      <c r="E487" s="24">
        <v>0.07083333333333333</v>
      </c>
      <c r="F487" s="6" t="s">
        <v>120</v>
      </c>
      <c r="G487" t="s">
        <v>173</v>
      </c>
      <c r="H487" t="s">
        <v>86</v>
      </c>
      <c r="I487" s="9">
        <f>C487/D487/24</f>
        <v>24.931428571428572</v>
      </c>
      <c r="J487" s="9">
        <f>C487/E487/24</f>
        <v>25.664705882352944</v>
      </c>
      <c r="K487" s="2" t="s">
        <v>20</v>
      </c>
      <c r="L487" s="2" t="s">
        <v>29</v>
      </c>
      <c r="M487" s="2" t="s">
        <v>18</v>
      </c>
      <c r="N487" s="2">
        <v>7</v>
      </c>
      <c r="O487" s="2">
        <f>N487*C487</f>
        <v>305.41</v>
      </c>
      <c r="P487" s="2" t="s">
        <v>171</v>
      </c>
      <c r="R487"/>
    </row>
    <row r="488" spans="1:18" ht="12.75">
      <c r="A488" s="6">
        <v>23</v>
      </c>
      <c r="B488" s="2" t="s">
        <v>119</v>
      </c>
      <c r="C488" s="25">
        <v>40.9</v>
      </c>
      <c r="D488" s="24">
        <v>0.07291666666666667</v>
      </c>
      <c r="E488" s="24">
        <v>0.07083333333333333</v>
      </c>
      <c r="F488" s="6" t="s">
        <v>120</v>
      </c>
      <c r="G488" t="s">
        <v>173</v>
      </c>
      <c r="H488" t="s">
        <v>86</v>
      </c>
      <c r="I488" s="9">
        <f>C488/D488/24</f>
        <v>23.37142857142857</v>
      </c>
      <c r="J488" s="9">
        <f>C488/E488/24</f>
        <v>24.058823529411764</v>
      </c>
      <c r="K488" s="2" t="s">
        <v>16</v>
      </c>
      <c r="L488" s="2" t="s">
        <v>29</v>
      </c>
      <c r="M488" s="2" t="s">
        <v>18</v>
      </c>
      <c r="N488">
        <v>7</v>
      </c>
      <c r="O488" s="2">
        <f>N488*C488</f>
        <v>286.3</v>
      </c>
      <c r="P488" s="2" t="s">
        <v>171</v>
      </c>
      <c r="R488"/>
    </row>
    <row r="489" spans="1:18" ht="12.75">
      <c r="A489" s="6">
        <v>24</v>
      </c>
      <c r="B489" s="2" t="s">
        <v>122</v>
      </c>
      <c r="C489" s="18">
        <v>43.63</v>
      </c>
      <c r="D489" s="24">
        <v>0.07291666666666667</v>
      </c>
      <c r="E489" s="24">
        <v>0.07083333333333333</v>
      </c>
      <c r="F489" s="6" t="s">
        <v>120</v>
      </c>
      <c r="G489" t="s">
        <v>173</v>
      </c>
      <c r="H489" t="s">
        <v>86</v>
      </c>
      <c r="I489" s="9">
        <f>C489/D489/24</f>
        <v>24.931428571428572</v>
      </c>
      <c r="J489" s="9">
        <f>C489/E489/24</f>
        <v>25.664705882352944</v>
      </c>
      <c r="K489" s="2" t="s">
        <v>20</v>
      </c>
      <c r="L489" s="2" t="s">
        <v>29</v>
      </c>
      <c r="M489" s="2" t="s">
        <v>18</v>
      </c>
      <c r="N489" s="2">
        <v>7</v>
      </c>
      <c r="O489" s="2">
        <f>N489*C489</f>
        <v>305.41</v>
      </c>
      <c r="P489" s="2" t="s">
        <v>171</v>
      </c>
      <c r="R489"/>
    </row>
    <row r="490" spans="1:18" ht="12.75">
      <c r="A490" s="6">
        <v>31</v>
      </c>
      <c r="B490" s="2" t="s">
        <v>124</v>
      </c>
      <c r="C490" s="18">
        <v>31.83</v>
      </c>
      <c r="D490" s="10">
        <v>0.05347222222222222</v>
      </c>
      <c r="E490"/>
      <c r="F490" s="6" t="s">
        <v>125</v>
      </c>
      <c r="G490" t="s">
        <v>173</v>
      </c>
      <c r="H490" t="s">
        <v>86</v>
      </c>
      <c r="I490" s="9">
        <f>C490/D490/24</f>
        <v>24.802597402597403</v>
      </c>
      <c r="J490" s="9"/>
      <c r="K490" s="2" t="s">
        <v>16</v>
      </c>
      <c r="L490" s="2" t="s">
        <v>29</v>
      </c>
      <c r="M490" s="2" t="s">
        <v>18</v>
      </c>
      <c r="N490">
        <v>7</v>
      </c>
      <c r="O490" s="2">
        <f>N490*C490</f>
        <v>222.81</v>
      </c>
      <c r="P490" s="2" t="s">
        <v>171</v>
      </c>
      <c r="R490"/>
    </row>
    <row r="491" spans="1:18" ht="12.75">
      <c r="A491" s="6">
        <v>32</v>
      </c>
      <c r="B491" s="2" t="s">
        <v>127</v>
      </c>
      <c r="C491" s="18">
        <v>31.83</v>
      </c>
      <c r="D491" s="24">
        <v>0.05486111111111111</v>
      </c>
      <c r="F491" s="6" t="s">
        <v>125</v>
      </c>
      <c r="G491" t="s">
        <v>173</v>
      </c>
      <c r="H491" t="s">
        <v>86</v>
      </c>
      <c r="I491" s="9">
        <f>C491/D491/24</f>
        <v>24.174683544303793</v>
      </c>
      <c r="J491" s="9"/>
      <c r="K491" s="2" t="s">
        <v>20</v>
      </c>
      <c r="L491" s="2" t="s">
        <v>29</v>
      </c>
      <c r="M491" s="2" t="s">
        <v>18</v>
      </c>
      <c r="N491" s="2">
        <v>7</v>
      </c>
      <c r="O491" s="2">
        <f>N491*C491</f>
        <v>222.81</v>
      </c>
      <c r="P491" s="2" t="s">
        <v>171</v>
      </c>
      <c r="R491"/>
    </row>
    <row r="492" spans="1:18" ht="12.75">
      <c r="A492" s="6">
        <v>41</v>
      </c>
      <c r="B492" s="2" t="s">
        <v>124</v>
      </c>
      <c r="C492" s="18">
        <v>31.83</v>
      </c>
      <c r="D492" s="10">
        <v>0.05347222222222222</v>
      </c>
      <c r="E492"/>
      <c r="F492" s="6" t="s">
        <v>125</v>
      </c>
      <c r="G492" t="s">
        <v>173</v>
      </c>
      <c r="H492" t="s">
        <v>86</v>
      </c>
      <c r="I492" s="9">
        <f>C492/D492/24</f>
        <v>24.802597402597403</v>
      </c>
      <c r="J492" s="9"/>
      <c r="K492" s="2" t="s">
        <v>16</v>
      </c>
      <c r="L492" s="2" t="s">
        <v>29</v>
      </c>
      <c r="M492" s="2" t="s">
        <v>18</v>
      </c>
      <c r="N492">
        <v>7</v>
      </c>
      <c r="O492" s="2">
        <f>N492*C492</f>
        <v>222.81</v>
      </c>
      <c r="P492" s="2" t="s">
        <v>171</v>
      </c>
      <c r="R492"/>
    </row>
    <row r="493" spans="1:18" ht="12.75">
      <c r="A493" s="6">
        <v>42</v>
      </c>
      <c r="B493" s="2" t="s">
        <v>127</v>
      </c>
      <c r="C493" s="18">
        <v>31.83</v>
      </c>
      <c r="D493" s="24">
        <v>0.05486111111111111</v>
      </c>
      <c r="F493" s="6" t="s">
        <v>125</v>
      </c>
      <c r="G493" t="s">
        <v>173</v>
      </c>
      <c r="H493" t="s">
        <v>86</v>
      </c>
      <c r="I493" s="9">
        <f>C493/D493/24</f>
        <v>24.174683544303793</v>
      </c>
      <c r="J493" s="9"/>
      <c r="K493" s="2" t="s">
        <v>20</v>
      </c>
      <c r="L493" s="2" t="s">
        <v>29</v>
      </c>
      <c r="M493" s="2" t="s">
        <v>18</v>
      </c>
      <c r="N493" s="2">
        <v>7</v>
      </c>
      <c r="O493" s="2">
        <f>N493*C493</f>
        <v>222.81</v>
      </c>
      <c r="P493" s="2" t="s">
        <v>171</v>
      </c>
      <c r="R493"/>
    </row>
    <row r="494" spans="1:18" ht="12.75">
      <c r="A494" s="6">
        <v>51</v>
      </c>
      <c r="B494" s="2" t="s">
        <v>124</v>
      </c>
      <c r="C494" s="18">
        <v>31.83</v>
      </c>
      <c r="D494" s="10">
        <v>0.05347222222222222</v>
      </c>
      <c r="E494"/>
      <c r="F494" s="6" t="s">
        <v>125</v>
      </c>
      <c r="G494" t="s">
        <v>174</v>
      </c>
      <c r="H494" t="s">
        <v>86</v>
      </c>
      <c r="I494" s="9">
        <f>C494/D494/24</f>
        <v>24.802597402597403</v>
      </c>
      <c r="J494" s="9"/>
      <c r="K494" s="2" t="s">
        <v>16</v>
      </c>
      <c r="L494" s="2" t="s">
        <v>29</v>
      </c>
      <c r="M494" s="2" t="s">
        <v>18</v>
      </c>
      <c r="N494">
        <v>2</v>
      </c>
      <c r="O494" s="2">
        <f>N494*C494</f>
        <v>63.66</v>
      </c>
      <c r="P494" s="2" t="s">
        <v>171</v>
      </c>
      <c r="R494"/>
    </row>
    <row r="495" spans="1:18" ht="12.75">
      <c r="A495" s="6">
        <v>52</v>
      </c>
      <c r="B495" s="2" t="s">
        <v>127</v>
      </c>
      <c r="C495" s="18">
        <v>31.83</v>
      </c>
      <c r="D495" s="24">
        <v>0.05486111111111111</v>
      </c>
      <c r="F495" s="6" t="s">
        <v>125</v>
      </c>
      <c r="G495" t="s">
        <v>174</v>
      </c>
      <c r="H495" t="s">
        <v>86</v>
      </c>
      <c r="I495" s="9">
        <f>C495/D495/24</f>
        <v>24.174683544303793</v>
      </c>
      <c r="J495" s="9"/>
      <c r="K495" s="2" t="s">
        <v>20</v>
      </c>
      <c r="L495" s="2" t="s">
        <v>29</v>
      </c>
      <c r="M495" s="2" t="s">
        <v>18</v>
      </c>
      <c r="N495" s="2">
        <v>2</v>
      </c>
      <c r="O495" s="2">
        <f>N495*C495</f>
        <v>63.66</v>
      </c>
      <c r="P495" s="2" t="s">
        <v>171</v>
      </c>
      <c r="R495"/>
    </row>
    <row r="496" spans="1:18" ht="12.75">
      <c r="A496" s="6" t="s">
        <v>129</v>
      </c>
      <c r="B496" s="2" t="s">
        <v>119</v>
      </c>
      <c r="C496" s="18">
        <v>43.63</v>
      </c>
      <c r="D496" s="10">
        <v>0.06944444444444445</v>
      </c>
      <c r="E496" s="10">
        <v>0.06736111111111111</v>
      </c>
      <c r="F496" s="6" t="s">
        <v>130</v>
      </c>
      <c r="G496" t="s">
        <v>175</v>
      </c>
      <c r="H496"/>
      <c r="I496" s="9">
        <f>C496/D496/24</f>
        <v>26.178</v>
      </c>
      <c r="J496" s="9">
        <f>C496/E496/24</f>
        <v>26.987628865979385</v>
      </c>
      <c r="K496" s="2" t="s">
        <v>16</v>
      </c>
      <c r="L496" s="2" t="s">
        <v>29</v>
      </c>
      <c r="M496" s="2" t="s">
        <v>18</v>
      </c>
      <c r="N496">
        <v>2</v>
      </c>
      <c r="O496" s="2">
        <f>N496*C496</f>
        <v>87.26</v>
      </c>
      <c r="P496" s="2" t="s">
        <v>176</v>
      </c>
      <c r="R496"/>
    </row>
    <row r="497" spans="1:18" ht="12.75">
      <c r="A497" s="6" t="s">
        <v>129</v>
      </c>
      <c r="B497" s="2" t="s">
        <v>122</v>
      </c>
      <c r="C497" s="18">
        <v>43.63</v>
      </c>
      <c r="D497" s="24">
        <v>0.07291666666666667</v>
      </c>
      <c r="E497" s="24">
        <v>0.07083333333333333</v>
      </c>
      <c r="F497" s="6" t="s">
        <v>130</v>
      </c>
      <c r="G497" t="s">
        <v>175</v>
      </c>
      <c r="H497"/>
      <c r="I497" s="9">
        <f>C497/D497/24</f>
        <v>24.931428571428572</v>
      </c>
      <c r="J497" s="9">
        <f>C497/E497/24</f>
        <v>25.664705882352944</v>
      </c>
      <c r="K497" s="2" t="s">
        <v>20</v>
      </c>
      <c r="L497" s="2" t="s">
        <v>29</v>
      </c>
      <c r="M497" s="2" t="s">
        <v>18</v>
      </c>
      <c r="N497" s="2">
        <v>2</v>
      </c>
      <c r="O497" s="2">
        <f>N497*C497</f>
        <v>87.26</v>
      </c>
      <c r="P497" s="2" t="s">
        <v>176</v>
      </c>
      <c r="R497"/>
    </row>
    <row r="498" spans="2:21" ht="12.75">
      <c r="B498" s="1" t="s">
        <v>24</v>
      </c>
      <c r="C498" s="18">
        <v>178.23</v>
      </c>
      <c r="D498" s="26">
        <v>0.18055555555555555</v>
      </c>
      <c r="E498" s="8">
        <f>D499</f>
        <v>0.17708333333333334</v>
      </c>
      <c r="F498" s="6" t="s">
        <v>80</v>
      </c>
      <c r="G498" s="11" t="s">
        <v>177</v>
      </c>
      <c r="H498" s="15" t="s">
        <v>159</v>
      </c>
      <c r="I498" s="9">
        <f>C498/D498/24</f>
        <v>41.13</v>
      </c>
      <c r="J498" s="9">
        <f>C498/E498/24</f>
        <v>41.93647058823529</v>
      </c>
      <c r="K498" s="2" t="s">
        <v>20</v>
      </c>
      <c r="L498" s="1" t="s">
        <v>29</v>
      </c>
      <c r="M498" s="2" t="s">
        <v>34</v>
      </c>
      <c r="N498" s="2">
        <v>7</v>
      </c>
      <c r="O498" s="2">
        <f>N498*C498</f>
        <v>1247.61</v>
      </c>
      <c r="P498" s="2" t="s">
        <v>178</v>
      </c>
      <c r="Q498" s="27">
        <v>89</v>
      </c>
      <c r="R498" s="27">
        <v>165</v>
      </c>
      <c r="U498" s="28">
        <f>Q498/C498</f>
        <v>0.49935476631319087</v>
      </c>
    </row>
    <row r="499" spans="2:21" ht="12.75">
      <c r="B499" s="1" t="s">
        <v>21</v>
      </c>
      <c r="C499" s="18">
        <v>178.23</v>
      </c>
      <c r="D499" s="26">
        <v>0.17708333333333334</v>
      </c>
      <c r="E499" s="8">
        <v>0.1736111111111111</v>
      </c>
      <c r="F499" s="6" t="s">
        <v>80</v>
      </c>
      <c r="G499" s="11" t="s">
        <v>177</v>
      </c>
      <c r="H499" s="15" t="s">
        <v>159</v>
      </c>
      <c r="I499" s="9">
        <f>C499/D499/24</f>
        <v>41.93647058823529</v>
      </c>
      <c r="J499" s="9">
        <f>C499/E499/24</f>
        <v>42.775200000000005</v>
      </c>
      <c r="K499" s="2" t="s">
        <v>16</v>
      </c>
      <c r="L499" s="1" t="s">
        <v>29</v>
      </c>
      <c r="M499" s="2" t="s">
        <v>34</v>
      </c>
      <c r="N499" s="2">
        <v>7</v>
      </c>
      <c r="O499" s="2">
        <f>N499*C499</f>
        <v>1247.61</v>
      </c>
      <c r="P499" s="2" t="s">
        <v>178</v>
      </c>
      <c r="Q499" s="27">
        <v>89</v>
      </c>
      <c r="R499" s="27">
        <v>175</v>
      </c>
      <c r="U499" s="28">
        <f>Q499/C499</f>
        <v>0.49935476631319087</v>
      </c>
    </row>
    <row r="500" spans="1:21" ht="12.75">
      <c r="A500" s="1">
        <v>2</v>
      </c>
      <c r="B500" s="6" t="s">
        <v>56</v>
      </c>
      <c r="C500" s="6">
        <v>573</v>
      </c>
      <c r="D500" s="26">
        <v>0.4895833333333333</v>
      </c>
      <c r="E500" s="10">
        <v>0.4618055555555556</v>
      </c>
      <c r="F500" s="6" t="s">
        <v>83</v>
      </c>
      <c r="G500" s="11" t="s">
        <v>179</v>
      </c>
      <c r="H500" s="15" t="s">
        <v>159</v>
      </c>
      <c r="I500" s="9">
        <f>C500/D500/24</f>
        <v>48.76595744680851</v>
      </c>
      <c r="J500" s="9">
        <f>C500/E500/24</f>
        <v>51.69924812030075</v>
      </c>
      <c r="K500" s="2" t="s">
        <v>16</v>
      </c>
      <c r="L500" s="1" t="s">
        <v>29</v>
      </c>
      <c r="M500" s="2" t="s">
        <v>34</v>
      </c>
      <c r="N500" s="2">
        <v>7</v>
      </c>
      <c r="O500" s="2">
        <f>N500*C500</f>
        <v>4011</v>
      </c>
      <c r="P500" s="2" t="s">
        <v>178</v>
      </c>
      <c r="Q500" s="27">
        <v>187</v>
      </c>
      <c r="R500" s="29">
        <v>355</v>
      </c>
      <c r="S500" s="27">
        <v>233</v>
      </c>
      <c r="T500" s="27">
        <v>401</v>
      </c>
      <c r="U500" s="28">
        <f>Q500/C500</f>
        <v>0.3263525305410122</v>
      </c>
    </row>
    <row r="501" spans="1:21" ht="12.75">
      <c r="A501" s="1">
        <v>1</v>
      </c>
      <c r="B501" s="1" t="s">
        <v>59</v>
      </c>
      <c r="C501" s="6">
        <v>573</v>
      </c>
      <c r="D501" s="26">
        <v>0.4895833333333333</v>
      </c>
      <c r="E501" s="10">
        <v>0.4618055555555556</v>
      </c>
      <c r="F501" s="6" t="s">
        <v>83</v>
      </c>
      <c r="G501" s="12" t="s">
        <v>180</v>
      </c>
      <c r="H501" s="15" t="s">
        <v>159</v>
      </c>
      <c r="I501" s="9">
        <f>C501/D501/24</f>
        <v>48.76595744680851</v>
      </c>
      <c r="J501" s="9">
        <f>C501/E501/24</f>
        <v>51.69924812030075</v>
      </c>
      <c r="K501" s="2" t="s">
        <v>20</v>
      </c>
      <c r="L501" s="1" t="s">
        <v>29</v>
      </c>
      <c r="M501" s="2" t="s">
        <v>34</v>
      </c>
      <c r="N501" s="2">
        <v>7</v>
      </c>
      <c r="O501" s="2">
        <f>N501*C501</f>
        <v>4011</v>
      </c>
      <c r="P501" s="2" t="s">
        <v>178</v>
      </c>
      <c r="Q501" s="27">
        <v>187</v>
      </c>
      <c r="R501" s="29">
        <v>355</v>
      </c>
      <c r="S501" s="27">
        <v>233</v>
      </c>
      <c r="T501" s="27">
        <v>401</v>
      </c>
      <c r="U501" s="28">
        <f>Q501/C501</f>
        <v>0.3263525305410122</v>
      </c>
    </row>
    <row r="502" spans="2:19" ht="12.75">
      <c r="B502" s="1" t="s">
        <v>181</v>
      </c>
      <c r="C502" s="12">
        <v>376</v>
      </c>
      <c r="D502" s="26">
        <v>0.3090277777777778</v>
      </c>
      <c r="E502" s="10"/>
      <c r="F502" s="15" t="s">
        <v>182</v>
      </c>
      <c r="G502" s="11" t="s">
        <v>183</v>
      </c>
      <c r="H502" s="2" t="s">
        <v>184</v>
      </c>
      <c r="I502" s="9">
        <f>C502/D502/24</f>
        <v>50.69662921348314</v>
      </c>
      <c r="J502" s="9"/>
      <c r="K502" s="2" t="s">
        <v>16</v>
      </c>
      <c r="L502" s="1" t="s">
        <v>29</v>
      </c>
      <c r="M502" s="2" t="s">
        <v>185</v>
      </c>
      <c r="N502" s="2">
        <v>7</v>
      </c>
      <c r="O502" s="2">
        <f>N502*C502</f>
        <v>2632</v>
      </c>
      <c r="P502" s="2" t="s">
        <v>178</v>
      </c>
      <c r="Q502"/>
      <c r="S502" s="29">
        <v>218</v>
      </c>
    </row>
    <row r="503" spans="2:19" ht="12.75">
      <c r="B503" s="1" t="s">
        <v>186</v>
      </c>
      <c r="C503" s="12">
        <v>376</v>
      </c>
      <c r="D503" s="26">
        <v>0.3020833333333333</v>
      </c>
      <c r="E503" s="10"/>
      <c r="F503" s="15" t="s">
        <v>182</v>
      </c>
      <c r="G503" s="11" t="s">
        <v>187</v>
      </c>
      <c r="H503" s="2" t="s">
        <v>184</v>
      </c>
      <c r="I503" s="9">
        <f>C503/D503/24</f>
        <v>51.862068965517246</v>
      </c>
      <c r="J503" s="9"/>
      <c r="K503" s="2" t="s">
        <v>20</v>
      </c>
      <c r="L503" s="1" t="s">
        <v>29</v>
      </c>
      <c r="M503" s="2" t="s">
        <v>185</v>
      </c>
      <c r="N503" s="2">
        <v>7</v>
      </c>
      <c r="O503" s="2">
        <f>N503*C503</f>
        <v>2632</v>
      </c>
      <c r="P503" s="2" t="s">
        <v>178</v>
      </c>
      <c r="Q503"/>
      <c r="S503" s="29">
        <v>218</v>
      </c>
    </row>
    <row r="504" spans="2:21" ht="12.75">
      <c r="B504" s="1" t="s">
        <v>103</v>
      </c>
      <c r="C504" s="1">
        <v>150</v>
      </c>
      <c r="D504" s="26">
        <v>0.2326388888888889</v>
      </c>
      <c r="E504" s="8">
        <v>0.1840277777777778</v>
      </c>
      <c r="F504" s="6" t="s">
        <v>85</v>
      </c>
      <c r="G504" s="11" t="s">
        <v>188</v>
      </c>
      <c r="H504" s="15" t="s">
        <v>82</v>
      </c>
      <c r="I504" s="9">
        <f>C504/D504/24</f>
        <v>26.865671641791042</v>
      </c>
      <c r="J504" s="9">
        <f>C504/E504/24</f>
        <v>33.96226415094339</v>
      </c>
      <c r="K504" s="2" t="s">
        <v>20</v>
      </c>
      <c r="L504" s="1" t="s">
        <v>29</v>
      </c>
      <c r="M504" s="2" t="s">
        <v>34</v>
      </c>
      <c r="N504" s="2">
        <v>7</v>
      </c>
      <c r="O504" s="2">
        <f>N504*C504</f>
        <v>1050</v>
      </c>
      <c r="P504" s="2" t="s">
        <v>178</v>
      </c>
      <c r="Q504" s="29">
        <v>77</v>
      </c>
      <c r="R504" t="s">
        <v>189</v>
      </c>
      <c r="U504" s="28">
        <f>Q504/C504</f>
        <v>0.5133333333333333</v>
      </c>
    </row>
    <row r="505" spans="2:21" ht="12.75">
      <c r="B505" s="1" t="s">
        <v>104</v>
      </c>
      <c r="C505" s="1">
        <v>150</v>
      </c>
      <c r="D505" s="26">
        <v>0.23958333333333334</v>
      </c>
      <c r="E505" s="8">
        <v>0.18055555555555555</v>
      </c>
      <c r="F505" s="6" t="s">
        <v>85</v>
      </c>
      <c r="G505" s="11" t="s">
        <v>188</v>
      </c>
      <c r="H505" s="15" t="s">
        <v>82</v>
      </c>
      <c r="I505" s="9">
        <f>C505/D505/24</f>
        <v>26.08695652173913</v>
      </c>
      <c r="J505" s="9">
        <f>C505/E505/24</f>
        <v>34.61538461538462</v>
      </c>
      <c r="K505" s="2" t="s">
        <v>16</v>
      </c>
      <c r="L505" s="1" t="s">
        <v>29</v>
      </c>
      <c r="M505" s="2" t="s">
        <v>34</v>
      </c>
      <c r="N505" s="2">
        <v>7</v>
      </c>
      <c r="O505" s="2">
        <f>N505*C505</f>
        <v>1050</v>
      </c>
      <c r="P505" s="2" t="s">
        <v>178</v>
      </c>
      <c r="Q505" s="29">
        <v>125</v>
      </c>
      <c r="R505" t="s">
        <v>190</v>
      </c>
      <c r="U505" s="28">
        <f>Q505/C505</f>
        <v>0.8333333333333334</v>
      </c>
    </row>
    <row r="506" spans="1:21" ht="12.75">
      <c r="A506" s="1">
        <v>4</v>
      </c>
      <c r="B506" s="6" t="s">
        <v>87</v>
      </c>
      <c r="C506" s="6">
        <v>88</v>
      </c>
      <c r="D506" s="26">
        <v>0.09375</v>
      </c>
      <c r="E506" s="8"/>
      <c r="F506" s="6" t="s">
        <v>88</v>
      </c>
      <c r="G506" t="s">
        <v>191</v>
      </c>
      <c r="H506" t="s">
        <v>148</v>
      </c>
      <c r="I506" s="9">
        <f>C506/D506/24</f>
        <v>39.11111111111111</v>
      </c>
      <c r="J506" s="9"/>
      <c r="K506" s="2" t="s">
        <v>16</v>
      </c>
      <c r="L506" s="1" t="s">
        <v>29</v>
      </c>
      <c r="M506" s="2" t="s">
        <v>34</v>
      </c>
      <c r="N506" s="2">
        <v>4</v>
      </c>
      <c r="O506" s="2">
        <f>N506*C506</f>
        <v>352</v>
      </c>
      <c r="P506" s="2" t="s">
        <v>178</v>
      </c>
      <c r="Q506" s="27">
        <v>78</v>
      </c>
      <c r="R506"/>
      <c r="U506" s="28">
        <f>Q506/C506</f>
        <v>0.8863636363636364</v>
      </c>
    </row>
    <row r="507" spans="1:21" ht="12.75">
      <c r="A507" s="1">
        <v>3</v>
      </c>
      <c r="B507" s="1" t="s">
        <v>91</v>
      </c>
      <c r="C507" s="6">
        <v>88</v>
      </c>
      <c r="D507" s="26">
        <v>0.125</v>
      </c>
      <c r="E507" s="8"/>
      <c r="F507" s="6" t="s">
        <v>88</v>
      </c>
      <c r="G507" t="s">
        <v>191</v>
      </c>
      <c r="H507" t="s">
        <v>148</v>
      </c>
      <c r="I507" s="9">
        <f>C507/D507/24</f>
        <v>29.333333333333332</v>
      </c>
      <c r="J507" s="9"/>
      <c r="K507" s="2" t="s">
        <v>20</v>
      </c>
      <c r="L507" s="1" t="s">
        <v>29</v>
      </c>
      <c r="M507" s="2" t="s">
        <v>34</v>
      </c>
      <c r="N507" s="2">
        <v>4</v>
      </c>
      <c r="O507" s="2">
        <f>N507*C507</f>
        <v>352</v>
      </c>
      <c r="P507" s="2" t="s">
        <v>178</v>
      </c>
      <c r="Q507" s="27">
        <v>78</v>
      </c>
      <c r="R507"/>
      <c r="U507" s="28">
        <f>Q507/C507</f>
        <v>0.8863636363636364</v>
      </c>
    </row>
    <row r="508" spans="1:21" ht="12.75">
      <c r="A508" s="1">
        <v>10</v>
      </c>
      <c r="B508" s="6" t="s">
        <v>56</v>
      </c>
      <c r="C508" s="6">
        <v>573</v>
      </c>
      <c r="D508" s="26">
        <v>0.4791666666666667</v>
      </c>
      <c r="E508" s="8"/>
      <c r="F508" s="6" t="s">
        <v>92</v>
      </c>
      <c r="G508" t="s">
        <v>141</v>
      </c>
      <c r="H508" t="s">
        <v>82</v>
      </c>
      <c r="I508" s="9">
        <f>C508/D508/24</f>
        <v>49.82608695652174</v>
      </c>
      <c r="J508" s="9"/>
      <c r="K508" s="2" t="s">
        <v>16</v>
      </c>
      <c r="L508" s="1" t="s">
        <v>17</v>
      </c>
      <c r="M508" s="2" t="s">
        <v>34</v>
      </c>
      <c r="N508" s="2">
        <v>1</v>
      </c>
      <c r="O508" s="2">
        <f>N508*C508</f>
        <v>573</v>
      </c>
      <c r="P508" s="2" t="s">
        <v>178</v>
      </c>
      <c r="Q508" s="27">
        <v>179</v>
      </c>
      <c r="U508" s="28">
        <f>Q508/C508</f>
        <v>0.31239092495637</v>
      </c>
    </row>
    <row r="509" spans="1:21" ht="12.75">
      <c r="A509" s="1">
        <v>9</v>
      </c>
      <c r="B509" s="1" t="s">
        <v>59</v>
      </c>
      <c r="C509" s="6">
        <v>573</v>
      </c>
      <c r="D509" s="26">
        <v>0.4791666666666667</v>
      </c>
      <c r="E509" s="8"/>
      <c r="F509" s="6" t="s">
        <v>92</v>
      </c>
      <c r="G509" t="s">
        <v>142</v>
      </c>
      <c r="H509" t="s">
        <v>82</v>
      </c>
      <c r="I509" s="9">
        <f>C509/D509/24</f>
        <v>49.82608695652174</v>
      </c>
      <c r="J509" s="9"/>
      <c r="K509" s="2" t="s">
        <v>20</v>
      </c>
      <c r="L509" s="1" t="s">
        <v>17</v>
      </c>
      <c r="M509" s="2" t="s">
        <v>34</v>
      </c>
      <c r="N509" s="2">
        <v>1</v>
      </c>
      <c r="O509" s="2">
        <f>N509*C509</f>
        <v>573</v>
      </c>
      <c r="P509" s="2" t="s">
        <v>178</v>
      </c>
      <c r="Q509" s="27">
        <v>179</v>
      </c>
      <c r="U509" s="28">
        <f>Q509/C509</f>
        <v>0.31239092495637</v>
      </c>
    </row>
    <row r="510" spans="1:21" ht="12.75">
      <c r="A510" s="1">
        <v>10</v>
      </c>
      <c r="B510" s="1" t="s">
        <v>95</v>
      </c>
      <c r="C510" s="6">
        <v>269</v>
      </c>
      <c r="D510" s="26">
        <v>0.2152777777777778</v>
      </c>
      <c r="E510" s="8"/>
      <c r="F510" s="6" t="s">
        <v>96</v>
      </c>
      <c r="G510" t="s">
        <v>192</v>
      </c>
      <c r="H510" t="s">
        <v>148</v>
      </c>
      <c r="I510" s="9">
        <f>C510/D510/24</f>
        <v>52.064516129032256</v>
      </c>
      <c r="J510" s="9"/>
      <c r="K510" s="2" t="s">
        <v>16</v>
      </c>
      <c r="L510" s="1" t="s">
        <v>17</v>
      </c>
      <c r="M510" s="2" t="s">
        <v>34</v>
      </c>
      <c r="N510" s="2">
        <v>0.25</v>
      </c>
      <c r="O510" s="2">
        <f>N510*C510</f>
        <v>67.25</v>
      </c>
      <c r="P510" s="2" t="s">
        <v>178</v>
      </c>
      <c r="Q510" s="27">
        <v>96</v>
      </c>
      <c r="R510" s="2" t="s">
        <v>193</v>
      </c>
      <c r="U510" s="28">
        <f>Q510/(C510*2)</f>
        <v>0.17843866171003717</v>
      </c>
    </row>
    <row r="511" spans="1:21" ht="12.75">
      <c r="A511" s="1">
        <v>9</v>
      </c>
      <c r="B511" s="1" t="s">
        <v>98</v>
      </c>
      <c r="C511" s="6">
        <v>269</v>
      </c>
      <c r="D511" s="26">
        <v>0.21875</v>
      </c>
      <c r="E511" s="8"/>
      <c r="F511" s="6" t="s">
        <v>96</v>
      </c>
      <c r="G511" t="s">
        <v>192</v>
      </c>
      <c r="H511" t="s">
        <v>148</v>
      </c>
      <c r="I511" s="9">
        <f>C511/D511/24</f>
        <v>51.23809523809524</v>
      </c>
      <c r="J511" s="9"/>
      <c r="K511" s="2" t="s">
        <v>20</v>
      </c>
      <c r="L511" s="1" t="s">
        <v>17</v>
      </c>
      <c r="M511" s="2" t="s">
        <v>34</v>
      </c>
      <c r="N511" s="2">
        <v>0.25</v>
      </c>
      <c r="O511" s="2">
        <f>N511*C511</f>
        <v>67.25</v>
      </c>
      <c r="P511" s="2" t="s">
        <v>178</v>
      </c>
      <c r="Q511" s="27">
        <v>96</v>
      </c>
      <c r="R511" s="2" t="s">
        <v>193</v>
      </c>
      <c r="U511" s="28">
        <f>Q511/(C511*2)</f>
        <v>0.17843866171003717</v>
      </c>
    </row>
    <row r="512" spans="1:17" ht="12.75">
      <c r="A512" s="1" t="s">
        <v>194</v>
      </c>
      <c r="B512" s="6"/>
      <c r="C512" s="6"/>
      <c r="D512" s="6"/>
      <c r="E512" s="6"/>
      <c r="F512" s="6"/>
      <c r="G512" s="6"/>
      <c r="H512" s="6"/>
      <c r="J512"/>
      <c r="K512"/>
      <c r="L512"/>
      <c r="M512"/>
      <c r="N512"/>
      <c r="O512"/>
      <c r="P512"/>
      <c r="Q512"/>
    </row>
    <row r="513" spans="1:17" ht="12.75">
      <c r="A513"/>
      <c r="B513"/>
      <c r="C513"/>
      <c r="D513"/>
      <c r="E513"/>
      <c r="F513"/>
      <c r="G513"/>
      <c r="H513"/>
      <c r="I513"/>
      <c r="L513" s="1"/>
      <c r="P513" s="5" t="s">
        <v>26</v>
      </c>
      <c r="Q513" s="5" t="s">
        <v>27</v>
      </c>
    </row>
    <row r="514" spans="1:17" ht="12.75">
      <c r="A514" s="30" t="s">
        <v>195</v>
      </c>
      <c r="B514" s="30"/>
      <c r="C514" s="30"/>
      <c r="D514" s="5" t="s">
        <v>9</v>
      </c>
      <c r="E514" s="5" t="s">
        <v>11</v>
      </c>
      <c r="F514"/>
      <c r="G514"/>
      <c r="H514"/>
      <c r="I514"/>
      <c r="J514" s="31">
        <f>K514/K516</f>
        <v>0.12180161828778362</v>
      </c>
      <c r="K514" s="18">
        <v>107.63</v>
      </c>
      <c r="L514" s="1" t="s">
        <v>29</v>
      </c>
      <c r="M514" s="2" t="s">
        <v>18</v>
      </c>
      <c r="N514" s="2">
        <f>SUM(N484:N497)</f>
        <v>69</v>
      </c>
      <c r="O514" s="2">
        <f>SUM(O484:O497)</f>
        <v>2914.65</v>
      </c>
      <c r="P514" s="13">
        <f>N514/N516</f>
        <v>0.518796992481203</v>
      </c>
      <c r="Q514" s="13">
        <f>O514/O516</f>
        <v>0.13556593598007802</v>
      </c>
    </row>
    <row r="515" spans="1:17" ht="12.75">
      <c r="A515" t="s">
        <v>196</v>
      </c>
      <c r="B515" t="s">
        <v>197</v>
      </c>
      <c r="C515"/>
      <c r="D515" s="2" t="s">
        <v>20</v>
      </c>
      <c r="E515" s="2" t="s">
        <v>18</v>
      </c>
      <c r="F515"/>
      <c r="G515"/>
      <c r="J515" s="31">
        <f>K515/K516</f>
        <v>0.8781983817122164</v>
      </c>
      <c r="K515" s="12">
        <v>776.02</v>
      </c>
      <c r="L515" t="s">
        <v>29</v>
      </c>
      <c r="M515" s="2" t="s">
        <v>34</v>
      </c>
      <c r="N515" s="2">
        <f>SUM(N498:N507)</f>
        <v>64</v>
      </c>
      <c r="O515" s="2">
        <f>SUM(O498:O507)</f>
        <v>18585.22</v>
      </c>
      <c r="P515" s="13">
        <f>N515/N516</f>
        <v>0.48120300751879697</v>
      </c>
      <c r="Q515" s="13">
        <f>O515/O516</f>
        <v>0.864434064019922</v>
      </c>
    </row>
    <row r="516" spans="1:15" ht="12.75">
      <c r="A516" t="s">
        <v>198</v>
      </c>
      <c r="B516" t="s">
        <v>199</v>
      </c>
      <c r="C516"/>
      <c r="D516" s="2" t="s">
        <v>16</v>
      </c>
      <c r="E516" s="2" t="s">
        <v>18</v>
      </c>
      <c r="F516"/>
      <c r="G516"/>
      <c r="H516"/>
      <c r="I516"/>
      <c r="K516" s="2">
        <f>SUM(K514:K515)</f>
        <v>883.65</v>
      </c>
      <c r="L516" t="s">
        <v>29</v>
      </c>
      <c r="M516" t="s">
        <v>25</v>
      </c>
      <c r="N516" s="2">
        <f>N515+N514</f>
        <v>133</v>
      </c>
      <c r="O516" s="2">
        <f>O515+O514</f>
        <v>21499.870000000003</v>
      </c>
    </row>
    <row r="517" spans="1:13" ht="12.75">
      <c r="A517" t="s">
        <v>196</v>
      </c>
      <c r="B517" t="s">
        <v>200</v>
      </c>
      <c r="C517"/>
      <c r="D517" s="2" t="s">
        <v>16</v>
      </c>
      <c r="E517" s="2" t="s">
        <v>34</v>
      </c>
      <c r="F517"/>
      <c r="G517"/>
      <c r="H517"/>
      <c r="I517"/>
      <c r="J517"/>
      <c r="K517"/>
      <c r="L517"/>
      <c r="M517"/>
    </row>
    <row r="518" spans="1:17" ht="12.75">
      <c r="A518" t="s">
        <v>198</v>
      </c>
      <c r="B518" t="s">
        <v>201</v>
      </c>
      <c r="C518"/>
      <c r="D518" s="2" t="s">
        <v>20</v>
      </c>
      <c r="E518" s="2" t="s">
        <v>34</v>
      </c>
      <c r="F518"/>
      <c r="G518" s="10"/>
      <c r="H518"/>
      <c r="I518"/>
      <c r="J518" s="31">
        <f>K518/K515</f>
        <v>0.7381304605551403</v>
      </c>
      <c r="K518" s="32">
        <v>572.804</v>
      </c>
      <c r="L518" s="1" t="s">
        <v>17</v>
      </c>
      <c r="M518" s="2" t="s">
        <v>34</v>
      </c>
      <c r="N518" s="2">
        <f>SUM(N508:N511)</f>
        <v>2.5</v>
      </c>
      <c r="O518" s="2">
        <f>SUM(O508:O511)</f>
        <v>1280.5</v>
      </c>
      <c r="P518" s="13">
        <f>N518/N515</f>
        <v>0.0390625</v>
      </c>
      <c r="Q518" s="13">
        <f>O518/O515</f>
        <v>0.0688988346653954</v>
      </c>
    </row>
    <row r="519" spans="1:13" ht="12.75">
      <c r="A519" s="6"/>
      <c r="C519" s="6"/>
      <c r="D519"/>
      <c r="E519" s="19"/>
      <c r="F519"/>
      <c r="G519"/>
      <c r="H519"/>
      <c r="I519"/>
      <c r="J519"/>
      <c r="K519"/>
      <c r="L519"/>
      <c r="M519"/>
    </row>
    <row r="520" spans="1:13" ht="12.75">
      <c r="A520" s="3" t="s">
        <v>202</v>
      </c>
      <c r="B520" s="4" t="str">
        <f>B2</f>
        <v>route</v>
      </c>
      <c r="C520"/>
      <c r="D520" s="4" t="str">
        <f>C2</f>
        <v>km</v>
      </c>
      <c r="E520" s="4" t="str">
        <f>L2</f>
        <v>season</v>
      </c>
      <c r="F520" s="4" t="str">
        <f>M2</f>
        <v>operator</v>
      </c>
      <c r="G520" s="4" t="str">
        <f>N2</f>
        <v>trips/week</v>
      </c>
      <c r="H520" s="4" t="str">
        <f>O2</f>
        <v>km/week</v>
      </c>
      <c r="I520" s="4" t="s">
        <v>203</v>
      </c>
      <c r="J520" s="4" t="s">
        <v>204</v>
      </c>
      <c r="K520"/>
      <c r="L520"/>
      <c r="M520"/>
    </row>
    <row r="521" spans="1:17" ht="12.75">
      <c r="A521" s="1">
        <f>A1</f>
        <v>1913</v>
      </c>
      <c r="B521" s="1" t="str">
        <f>B3</f>
        <v>Skagway – Whitehorse</v>
      </c>
      <c r="C521"/>
      <c r="D521" s="1">
        <f>C3</f>
        <v>174.1</v>
      </c>
      <c r="E521" s="1" t="str">
        <f>L9</f>
        <v>Winter</v>
      </c>
      <c r="F521" s="1" t="str">
        <f>M9</f>
        <v>Alaska Northern Railroad </v>
      </c>
      <c r="G521" s="1">
        <f>N9</f>
        <v>12</v>
      </c>
      <c r="H521" s="1">
        <f>O9</f>
        <v>1320</v>
      </c>
      <c r="I521" s="1"/>
      <c r="J521" s="1"/>
      <c r="K521" s="4"/>
      <c r="L521"/>
      <c r="M521"/>
      <c r="N521"/>
      <c r="O521"/>
      <c r="P521" s="1"/>
      <c r="Q521" s="1"/>
    </row>
    <row r="522" spans="1:17" ht="12.75">
      <c r="A522" s="1">
        <f>A12</f>
        <v>1931</v>
      </c>
      <c r="B522" s="1" t="s">
        <v>205</v>
      </c>
      <c r="C522"/>
      <c r="D522" s="1">
        <v>757</v>
      </c>
      <c r="E522" s="1" t="str">
        <f>L30</f>
        <v>Summer</v>
      </c>
      <c r="F522" s="1" t="str">
        <f>M30</f>
        <v>Alaska Railroad</v>
      </c>
      <c r="G522" s="1">
        <f>N30</f>
        <v>12</v>
      </c>
      <c r="H522" s="1">
        <f>O30</f>
        <v>3742</v>
      </c>
      <c r="I522" s="1"/>
      <c r="J522" s="1"/>
      <c r="K522" s="1"/>
      <c r="L522"/>
      <c r="M522"/>
      <c r="N522"/>
      <c r="O522"/>
      <c r="P522" s="1"/>
      <c r="Q522" s="1"/>
    </row>
    <row r="523" spans="1:17" ht="12.75">
      <c r="A523" s="1">
        <f>A33</f>
        <v>1933</v>
      </c>
      <c r="B523" s="1" t="s">
        <v>205</v>
      </c>
      <c r="C523"/>
      <c r="D523" s="1">
        <v>757</v>
      </c>
      <c r="E523" s="1" t="str">
        <f>L37</f>
        <v>Winter</v>
      </c>
      <c r="F523" s="1" t="str">
        <f>M37</f>
        <v>Alaska Railroad</v>
      </c>
      <c r="G523" s="1">
        <f>N43</f>
        <v>4</v>
      </c>
      <c r="H523" s="1">
        <f>O43</f>
        <v>1514</v>
      </c>
      <c r="I523" s="33">
        <f>G523/G522</f>
        <v>0.3333333333333333</v>
      </c>
      <c r="J523" s="33">
        <f>H523/H522</f>
        <v>0.4045964724746125</v>
      </c>
      <c r="K523" s="1"/>
      <c r="L523"/>
      <c r="M523"/>
      <c r="N523"/>
      <c r="O523"/>
      <c r="P523" s="1"/>
      <c r="Q523" s="1"/>
    </row>
    <row r="524" spans="1:17" ht="12.75">
      <c r="A524" s="1">
        <f>A61</f>
        <v>1952</v>
      </c>
      <c r="B524" t="s">
        <v>206</v>
      </c>
      <c r="C524"/>
      <c r="D524" s="18">
        <f>'1952'!A32+'1952'!A16+('1952'!A31-'1952'!A30)+('1952'!A11-'1952'!A8)</f>
        <v>805</v>
      </c>
      <c r="E524" s="1" t="str">
        <f>L80</f>
        <v>Summer</v>
      </c>
      <c r="F524" s="1" t="str">
        <f>M80</f>
        <v>Alaska Railroad</v>
      </c>
      <c r="G524" s="1">
        <f>N80</f>
        <v>42</v>
      </c>
      <c r="H524" s="1">
        <f>O80</f>
        <v>10242</v>
      </c>
      <c r="I524" s="1"/>
      <c r="J524" s="1"/>
      <c r="K524" s="1"/>
      <c r="L524"/>
      <c r="M524"/>
      <c r="N524"/>
      <c r="O524"/>
      <c r="P524" s="33"/>
      <c r="Q524" s="33"/>
    </row>
    <row r="525" spans="1:17" ht="12.75">
      <c r="A525" s="1">
        <f>A85</f>
        <v>1953</v>
      </c>
      <c r="B525" t="s">
        <v>207</v>
      </c>
      <c r="C525"/>
      <c r="D525" s="12">
        <v>703</v>
      </c>
      <c r="E525" s="1" t="str">
        <f>L97</f>
        <v>Winter</v>
      </c>
      <c r="F525" s="1" t="str">
        <f>M97</f>
        <v>Alaska Railroad</v>
      </c>
      <c r="G525" s="1">
        <f>N97</f>
        <v>36</v>
      </c>
      <c r="H525" s="1">
        <f>O97</f>
        <v>9144</v>
      </c>
      <c r="I525" s="33">
        <f>G525/G524</f>
        <v>0.8571428571428571</v>
      </c>
      <c r="J525" s="33">
        <f>H525/H524</f>
        <v>0.8927943760984183</v>
      </c>
      <c r="K525" s="1"/>
      <c r="L525"/>
      <c r="M525"/>
      <c r="N525"/>
      <c r="O525"/>
      <c r="P525" s="1"/>
      <c r="Q525" s="1"/>
    </row>
    <row r="526" spans="1:17" ht="12.75">
      <c r="A526" s="1">
        <f>A114</f>
        <v>1960</v>
      </c>
      <c r="B526" t="s">
        <v>208</v>
      </c>
      <c r="C526"/>
      <c r="D526" s="12">
        <v>673</v>
      </c>
      <c r="E526" s="1" t="str">
        <f>L126</f>
        <v>Summer</v>
      </c>
      <c r="F526" s="1" t="str">
        <f>M126</f>
        <v>Alaska Railroad</v>
      </c>
      <c r="G526" s="1">
        <f>N126</f>
        <v>28</v>
      </c>
      <c r="H526" s="1">
        <f>O126</f>
        <v>9422</v>
      </c>
      <c r="I526" s="1"/>
      <c r="J526" s="1"/>
      <c r="K526" s="1"/>
      <c r="L526"/>
      <c r="M526"/>
      <c r="N526"/>
      <c r="O526"/>
      <c r="P526" s="1"/>
      <c r="Q526" s="1"/>
    </row>
    <row r="527" spans="1:17" ht="12.75">
      <c r="A527" s="1">
        <f>A131</f>
        <v>1964</v>
      </c>
      <c r="B527" t="s">
        <v>208</v>
      </c>
      <c r="C527"/>
      <c r="D527" s="12">
        <v>673</v>
      </c>
      <c r="E527" s="1" t="str">
        <f>L141</f>
        <v>Winter</v>
      </c>
      <c r="F527" s="1" t="str">
        <f>M141</f>
        <v>Alaska Railroad</v>
      </c>
      <c r="G527" s="1">
        <f>N141</f>
        <v>14</v>
      </c>
      <c r="H527" s="1">
        <f>O141</f>
        <v>3292</v>
      </c>
      <c r="I527" s="33">
        <f>G527/G526</f>
        <v>0.5</v>
      </c>
      <c r="J527" s="33">
        <f>H527/H526</f>
        <v>0.34939503290171936</v>
      </c>
      <c r="K527" s="1"/>
      <c r="L527"/>
      <c r="M527"/>
      <c r="N527"/>
      <c r="O527"/>
      <c r="P527" s="1"/>
      <c r="Q527" s="1"/>
    </row>
    <row r="528" spans="1:17" ht="12.75">
      <c r="A528" s="1">
        <f>A144</f>
        <v>1974</v>
      </c>
      <c r="B528" t="s">
        <v>208</v>
      </c>
      <c r="C528"/>
      <c r="D528" s="12">
        <v>673</v>
      </c>
      <c r="E528" s="1" t="str">
        <f>L156</f>
        <v>Summer</v>
      </c>
      <c r="F528" s="1" t="str">
        <f>M156</f>
        <v>Alaska Railroad</v>
      </c>
      <c r="G528" s="1">
        <f>N156</f>
        <v>50</v>
      </c>
      <c r="H528" s="1">
        <f>O156</f>
        <v>9702</v>
      </c>
      <c r="I528" s="1"/>
      <c r="J528" s="1"/>
      <c r="K528" s="1"/>
      <c r="L528"/>
      <c r="M528"/>
      <c r="N528"/>
      <c r="O528"/>
      <c r="P528" s="1"/>
      <c r="Q528" s="1"/>
    </row>
    <row r="529" spans="1:17" ht="12.75">
      <c r="A529" s="1" t="str">
        <f>A159</f>
        <v>1974-75</v>
      </c>
      <c r="B529" t="s">
        <v>208</v>
      </c>
      <c r="C529"/>
      <c r="D529" s="12">
        <v>673</v>
      </c>
      <c r="E529" s="1" t="str">
        <f>L169</f>
        <v>Winter</v>
      </c>
      <c r="F529" s="1" t="str">
        <f>M169</f>
        <v>Alaska Railroad</v>
      </c>
      <c r="G529" s="1">
        <f>N169</f>
        <v>18</v>
      </c>
      <c r="H529" s="1">
        <f>O169</f>
        <v>3692</v>
      </c>
      <c r="I529" s="33">
        <f>G529/G528</f>
        <v>0.36</v>
      </c>
      <c r="J529" s="33">
        <f>H529/H528</f>
        <v>0.38054009482580914</v>
      </c>
      <c r="K529" s="1"/>
      <c r="L529"/>
      <c r="M529"/>
      <c r="N529"/>
      <c r="O529"/>
      <c r="P529" s="33"/>
      <c r="Q529" s="33"/>
    </row>
    <row r="530" spans="1:17" ht="12.75">
      <c r="A530" s="1">
        <f>A172</f>
        <v>1976</v>
      </c>
      <c r="B530" t="s">
        <v>208</v>
      </c>
      <c r="C530"/>
      <c r="D530" s="12">
        <v>673</v>
      </c>
      <c r="E530" s="1" t="str">
        <f>L186</f>
        <v>Summer</v>
      </c>
      <c r="F530" s="1" t="str">
        <f>M186</f>
        <v>Alaska Railroad</v>
      </c>
      <c r="G530" s="1">
        <f>N186</f>
        <v>52</v>
      </c>
      <c r="H530" s="1">
        <f>O186</f>
        <v>9902</v>
      </c>
      <c r="I530" s="1"/>
      <c r="J530" s="1"/>
      <c r="K530" s="1"/>
      <c r="L530"/>
      <c r="M530"/>
      <c r="N530"/>
      <c r="O530"/>
      <c r="P530" s="33"/>
      <c r="Q530" s="33"/>
    </row>
    <row r="531" spans="1:17" ht="12.75">
      <c r="A531" s="1" t="str">
        <f>A189</f>
        <v>1977-78</v>
      </c>
      <c r="B531" t="s">
        <v>208</v>
      </c>
      <c r="C531"/>
      <c r="D531" s="12">
        <v>673</v>
      </c>
      <c r="E531" s="1" t="str">
        <f>L199</f>
        <v>Winter</v>
      </c>
      <c r="F531" s="1" t="str">
        <f>M199</f>
        <v>Alaska Railroad</v>
      </c>
      <c r="G531" s="1">
        <f>N199</f>
        <v>18</v>
      </c>
      <c r="H531" s="1">
        <f>O199</f>
        <v>3692</v>
      </c>
      <c r="I531" s="33">
        <f>G531/G530</f>
        <v>0.34615384615384615</v>
      </c>
      <c r="J531" s="33">
        <f>H531/H530</f>
        <v>0.3728539688951727</v>
      </c>
      <c r="K531" s="1"/>
      <c r="L531"/>
      <c r="M531"/>
      <c r="N531"/>
      <c r="O531"/>
      <c r="P531" s="33"/>
      <c r="Q531" s="33"/>
    </row>
    <row r="532" spans="1:17" ht="12.75">
      <c r="A532" s="1">
        <f>A202</f>
        <v>1978</v>
      </c>
      <c r="B532" t="s">
        <v>208</v>
      </c>
      <c r="C532"/>
      <c r="D532" s="12">
        <v>673</v>
      </c>
      <c r="E532" s="1" t="str">
        <f>L216</f>
        <v>Summer</v>
      </c>
      <c r="F532" s="1" t="str">
        <f>M216</f>
        <v>Alaska Railroad</v>
      </c>
      <c r="G532" s="1">
        <f>N216</f>
        <v>52</v>
      </c>
      <c r="H532" s="1">
        <f>O216</f>
        <v>9902</v>
      </c>
      <c r="I532" s="1"/>
      <c r="J532" s="1"/>
      <c r="K532" s="1"/>
      <c r="L532"/>
      <c r="M532"/>
      <c r="N532"/>
      <c r="O532"/>
      <c r="P532" s="33"/>
      <c r="Q532" s="33"/>
    </row>
    <row r="533" spans="1:17" ht="12.75">
      <c r="A533" s="1" t="str">
        <f>A219</f>
        <v>1978-79</v>
      </c>
      <c r="B533" t="s">
        <v>208</v>
      </c>
      <c r="C533"/>
      <c r="D533" s="12">
        <v>673</v>
      </c>
      <c r="E533" s="1" t="str">
        <f>L231</f>
        <v>Winter</v>
      </c>
      <c r="F533" s="1" t="str">
        <f>M231</f>
        <v>Alaska Railroad</v>
      </c>
      <c r="G533" s="1">
        <f>N231</f>
        <v>18</v>
      </c>
      <c r="H533" s="1">
        <f>O231</f>
        <v>3692</v>
      </c>
      <c r="I533" s="33">
        <f>G533/G532</f>
        <v>0.34615384615384615</v>
      </c>
      <c r="J533" s="33">
        <f>H533/H532</f>
        <v>0.3728539688951727</v>
      </c>
      <c r="K533" s="1"/>
      <c r="L533"/>
      <c r="M533"/>
      <c r="N533"/>
      <c r="O533"/>
      <c r="P533" s="33"/>
      <c r="Q533" s="33"/>
    </row>
    <row r="534" spans="1:17" ht="12.75">
      <c r="A534" s="1">
        <f>A234</f>
        <v>1979</v>
      </c>
      <c r="B534" t="s">
        <v>208</v>
      </c>
      <c r="C534"/>
      <c r="D534" s="12">
        <v>673</v>
      </c>
      <c r="E534" s="1" t="str">
        <f>L248</f>
        <v>Summer</v>
      </c>
      <c r="F534" s="1" t="str">
        <f>M248</f>
        <v>Alaska Railroad</v>
      </c>
      <c r="G534" s="1">
        <f>N248</f>
        <v>52</v>
      </c>
      <c r="H534" s="1">
        <f>O248</f>
        <v>9902</v>
      </c>
      <c r="I534" s="1"/>
      <c r="J534" s="1"/>
      <c r="K534" s="1"/>
      <c r="L534"/>
      <c r="M534"/>
      <c r="N534"/>
      <c r="O534"/>
      <c r="P534" s="33"/>
      <c r="Q534" s="33"/>
    </row>
    <row r="535" spans="1:17" ht="12.75">
      <c r="A535" s="1" t="str">
        <f>A251</f>
        <v>1979-80</v>
      </c>
      <c r="B535" t="s">
        <v>208</v>
      </c>
      <c r="C535"/>
      <c r="D535" s="12">
        <v>673</v>
      </c>
      <c r="E535" s="1" t="str">
        <f>L263</f>
        <v>Winter</v>
      </c>
      <c r="F535" s="1" t="str">
        <f>M263</f>
        <v>Alaska Railroad</v>
      </c>
      <c r="G535" s="1">
        <f>N263</f>
        <v>18</v>
      </c>
      <c r="H535" s="1">
        <f>O263</f>
        <v>3692</v>
      </c>
      <c r="I535" s="33">
        <f>G535/G534</f>
        <v>0.34615384615384615</v>
      </c>
      <c r="J535" s="33">
        <f>H535/H534</f>
        <v>0.3728539688951727</v>
      </c>
      <c r="K535" s="1"/>
      <c r="L535"/>
      <c r="M535"/>
      <c r="N535"/>
      <c r="O535"/>
      <c r="P535" s="33"/>
      <c r="Q535" s="33"/>
    </row>
    <row r="536" spans="1:17" ht="12.75">
      <c r="A536" s="1">
        <f>A266</f>
        <v>1980</v>
      </c>
      <c r="B536" t="s">
        <v>208</v>
      </c>
      <c r="C536"/>
      <c r="D536" s="12">
        <v>673</v>
      </c>
      <c r="E536" s="1" t="str">
        <f>L280</f>
        <v>Summer</v>
      </c>
      <c r="F536" s="1" t="str">
        <f>M280</f>
        <v>Alaska Railroad</v>
      </c>
      <c r="G536" s="1">
        <f>N280</f>
        <v>52</v>
      </c>
      <c r="H536" s="1">
        <f>O280</f>
        <v>9902</v>
      </c>
      <c r="I536"/>
      <c r="J536"/>
      <c r="K536" s="1"/>
      <c r="L536"/>
      <c r="M536"/>
      <c r="N536"/>
      <c r="O536"/>
      <c r="P536" s="33"/>
      <c r="Q536" s="33"/>
    </row>
    <row r="537" spans="1:256" ht="12.75">
      <c r="A537" s="1" t="str">
        <f>A283</f>
        <v>1980-81</v>
      </c>
      <c r="B537" t="s">
        <v>208</v>
      </c>
      <c r="C537"/>
      <c r="D537" s="12">
        <v>673</v>
      </c>
      <c r="E537" s="1" t="str">
        <f>L295</f>
        <v>Winter</v>
      </c>
      <c r="F537" s="1" t="str">
        <f>M295</f>
        <v>Alaska Railroad</v>
      </c>
      <c r="G537" s="1">
        <f>N295</f>
        <v>18</v>
      </c>
      <c r="H537" s="1">
        <f>O295</f>
        <v>3692</v>
      </c>
      <c r="I537" s="33">
        <f>G537/G536</f>
        <v>0.34615384615384615</v>
      </c>
      <c r="J537" s="33">
        <f>H537/H536</f>
        <v>0.3728539688951727</v>
      </c>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row>
    <row r="538" spans="1:17" ht="12.75">
      <c r="A538" s="1">
        <f>A298</f>
        <v>1981</v>
      </c>
      <c r="B538" t="s">
        <v>208</v>
      </c>
      <c r="C538"/>
      <c r="D538" s="12">
        <v>673</v>
      </c>
      <c r="E538" s="1" t="str">
        <f>L314</f>
        <v>Summer</v>
      </c>
      <c r="F538" s="1" t="str">
        <f>M314</f>
        <v>Alaska Railroad</v>
      </c>
      <c r="G538" s="1">
        <f>N314</f>
        <v>56</v>
      </c>
      <c r="H538" s="1">
        <f>O314</f>
        <v>10302</v>
      </c>
      <c r="I538" s="1"/>
      <c r="J538" s="1"/>
      <c r="K538" s="1"/>
      <c r="L538"/>
      <c r="M538"/>
      <c r="N538"/>
      <c r="O538"/>
      <c r="P538" s="1"/>
      <c r="Q538" s="1"/>
    </row>
    <row r="539" spans="1:17" ht="12.75">
      <c r="A539" s="1" t="s">
        <v>209</v>
      </c>
      <c r="B539" t="s">
        <v>56</v>
      </c>
      <c r="C539"/>
      <c r="D539" s="12">
        <v>573</v>
      </c>
      <c r="E539" s="1" t="str">
        <f>L334</f>
        <v>Winter</v>
      </c>
      <c r="F539" s="1" t="str">
        <f>M334</f>
        <v>Alaska Railroad</v>
      </c>
      <c r="G539" s="1">
        <f>N334</f>
        <v>2.5</v>
      </c>
      <c r="H539" s="1">
        <f>O334</f>
        <v>1280.5</v>
      </c>
      <c r="I539" s="33">
        <f>G539/G540</f>
        <v>0.05</v>
      </c>
      <c r="J539" s="33">
        <f>H539/H540</f>
        <v>0.10145611913903727</v>
      </c>
      <c r="K539" s="1"/>
      <c r="L539"/>
      <c r="M539"/>
      <c r="N539"/>
      <c r="O539"/>
      <c r="P539" s="1"/>
      <c r="Q539" s="1"/>
    </row>
    <row r="540" spans="1:17" ht="12.75">
      <c r="A540" s="1">
        <f>A317</f>
        <v>2002</v>
      </c>
      <c r="B540" t="s">
        <v>210</v>
      </c>
      <c r="C540"/>
      <c r="D540" s="32">
        <f>'2015'!A105+'2015'!A101+D539</f>
        <v>770.538</v>
      </c>
      <c r="E540" s="1" t="str">
        <f>L333</f>
        <v>Summer</v>
      </c>
      <c r="F540" s="1" t="str">
        <f>M333</f>
        <v>Alaska Railroad</v>
      </c>
      <c r="G540" s="1">
        <f>N333</f>
        <v>50</v>
      </c>
      <c r="H540" s="1">
        <f>O333</f>
        <v>12621.220000000001</v>
      </c>
      <c r="I540" s="1"/>
      <c r="J540" s="1"/>
      <c r="K540" s="1"/>
      <c r="L540"/>
      <c r="M540"/>
      <c r="N540"/>
      <c r="O540"/>
      <c r="P540" s="33"/>
      <c r="Q540" s="33"/>
    </row>
    <row r="541" spans="1:17" ht="12.75">
      <c r="A541" s="1">
        <f>A336</f>
        <v>2005</v>
      </c>
      <c r="B541" t="s">
        <v>210</v>
      </c>
      <c r="C541"/>
      <c r="D541" s="18">
        <f>D540</f>
        <v>770.538</v>
      </c>
      <c r="E541" s="1" t="str">
        <f>L352</f>
        <v>Summer</v>
      </c>
      <c r="F541" s="1" t="str">
        <f>M352</f>
        <v>Alaska Railroad</v>
      </c>
      <c r="G541" s="1">
        <f>N352</f>
        <v>50</v>
      </c>
      <c r="H541" s="1">
        <f>O352</f>
        <v>13321.220000000001</v>
      </c>
      <c r="I541" s="1"/>
      <c r="J541" s="1"/>
      <c r="K541" s="1"/>
      <c r="L541"/>
      <c r="M541"/>
      <c r="N541"/>
      <c r="O541"/>
      <c r="P541" s="33"/>
      <c r="Q541" s="33"/>
    </row>
    <row r="542" spans="1:17" ht="12.75">
      <c r="A542" s="1" t="s">
        <v>211</v>
      </c>
      <c r="B542" t="s">
        <v>56</v>
      </c>
      <c r="C542"/>
      <c r="D542" s="34">
        <v>573</v>
      </c>
      <c r="E542" s="1" t="str">
        <f>L353</f>
        <v>Winter</v>
      </c>
      <c r="F542" s="1" t="str">
        <f>M353</f>
        <v>Alaska Railroad</v>
      </c>
      <c r="G542" s="1">
        <f>N353</f>
        <v>2.5</v>
      </c>
      <c r="H542" s="1">
        <f>O353</f>
        <v>1280.5</v>
      </c>
      <c r="I542" s="33">
        <f>G542/G541</f>
        <v>0.05</v>
      </c>
      <c r="J542" s="33">
        <f>H542/H541</f>
        <v>0.09612482940751672</v>
      </c>
      <c r="K542" s="1"/>
      <c r="L542"/>
      <c r="M542"/>
      <c r="N542"/>
      <c r="O542"/>
      <c r="P542" s="33"/>
      <c r="Q542" s="33"/>
    </row>
    <row r="543" spans="1:17" ht="12.75">
      <c r="A543" s="1">
        <f>A355</f>
        <v>2006</v>
      </c>
      <c r="B543" t="s">
        <v>210</v>
      </c>
      <c r="C543"/>
      <c r="D543" s="18">
        <f>D541</f>
        <v>770.538</v>
      </c>
      <c r="E543" s="1" t="str">
        <f>L371</f>
        <v>Summer</v>
      </c>
      <c r="F543" s="1" t="str">
        <f>M371</f>
        <v>Alaska Railroad</v>
      </c>
      <c r="G543" s="1">
        <f>N371</f>
        <v>50</v>
      </c>
      <c r="H543" s="1">
        <f>O371</f>
        <v>13321.220000000001</v>
      </c>
      <c r="I543" s="1"/>
      <c r="J543" s="1"/>
      <c r="K543" s="1"/>
      <c r="L543"/>
      <c r="M543"/>
      <c r="N543"/>
      <c r="O543"/>
      <c r="P543" s="33"/>
      <c r="Q543" s="33"/>
    </row>
    <row r="544" spans="1:17" ht="12.75">
      <c r="A544" s="1" t="s">
        <v>212</v>
      </c>
      <c r="B544" t="s">
        <v>56</v>
      </c>
      <c r="C544"/>
      <c r="D544" s="34">
        <v>573</v>
      </c>
      <c r="E544" s="1" t="str">
        <f>L372</f>
        <v>Winter</v>
      </c>
      <c r="F544" s="1" t="str">
        <f>M372</f>
        <v>Alaska Railroad</v>
      </c>
      <c r="G544" s="1">
        <f>N372</f>
        <v>2.5</v>
      </c>
      <c r="H544" s="1">
        <f>O372</f>
        <v>1280.5</v>
      </c>
      <c r="I544" s="33">
        <f>G544/G543</f>
        <v>0.05</v>
      </c>
      <c r="J544" s="33">
        <f>H544/H543</f>
        <v>0.09612482940751672</v>
      </c>
      <c r="K544" s="1"/>
      <c r="L544"/>
      <c r="M544"/>
      <c r="N544"/>
      <c r="O544"/>
      <c r="P544" s="33"/>
      <c r="Q544" s="33"/>
    </row>
    <row r="545" spans="1:17" ht="12.75">
      <c r="A545" s="1">
        <f>A374</f>
        <v>2007</v>
      </c>
      <c r="B545" t="s">
        <v>210</v>
      </c>
      <c r="C545"/>
      <c r="D545" s="18">
        <f>D543</f>
        <v>770.538</v>
      </c>
      <c r="E545" s="1" t="str">
        <f>L404</f>
        <v>Summer</v>
      </c>
      <c r="F545" s="1" t="str">
        <f>M404</f>
        <v>Alaska Railroad</v>
      </c>
      <c r="G545" s="1">
        <f>N404</f>
        <v>50</v>
      </c>
      <c r="H545" s="1">
        <f>O404</f>
        <v>13321.220000000001</v>
      </c>
      <c r="I545" s="1"/>
      <c r="J545" s="1"/>
      <c r="K545" s="1"/>
      <c r="L545"/>
      <c r="M545"/>
      <c r="N545"/>
      <c r="O545"/>
      <c r="P545" s="33"/>
      <c r="Q545" s="33"/>
    </row>
    <row r="546" spans="1:17" ht="12.75">
      <c r="A546" t="s">
        <v>213</v>
      </c>
      <c r="B546" t="s">
        <v>56</v>
      </c>
      <c r="C546"/>
      <c r="D546" s="34">
        <v>573</v>
      </c>
      <c r="E546" s="1" t="str">
        <f>L407</f>
        <v>Winter</v>
      </c>
      <c r="F546" s="1" t="str">
        <f>M407</f>
        <v>Alaska Railroad</v>
      </c>
      <c r="G546" s="1">
        <f>N407</f>
        <v>2.5</v>
      </c>
      <c r="H546" s="1">
        <f>O407</f>
        <v>1280.5</v>
      </c>
      <c r="I546" s="33">
        <f>G546/G545</f>
        <v>0.05</v>
      </c>
      <c r="J546" s="33">
        <f>H546/H545</f>
        <v>0.09612482940751672</v>
      </c>
      <c r="K546" s="1"/>
      <c r="L546"/>
      <c r="M546"/>
      <c r="N546"/>
      <c r="O546"/>
      <c r="P546" s="33"/>
      <c r="Q546" s="1"/>
    </row>
    <row r="547" spans="1:256" ht="12.75">
      <c r="A547" s="1">
        <f>A409</f>
        <v>2008</v>
      </c>
      <c r="B547" t="s">
        <v>210</v>
      </c>
      <c r="C547"/>
      <c r="D547" s="18">
        <f>D545</f>
        <v>770.538</v>
      </c>
      <c r="E547" s="1" t="str">
        <f>L425</f>
        <v>Summer</v>
      </c>
      <c r="F547" s="1" t="str">
        <f>M425</f>
        <v>Alaska Railroad</v>
      </c>
      <c r="G547" s="1">
        <f>N425</f>
        <v>50</v>
      </c>
      <c r="H547" s="1">
        <f>O425</f>
        <v>13321.220000000001</v>
      </c>
      <c r="I547" s="1"/>
      <c r="J547" s="1"/>
      <c r="K547"/>
      <c r="L547"/>
      <c r="M547"/>
      <c r="N547"/>
      <c r="O547"/>
      <c r="P547" s="1"/>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row>
    <row r="548" spans="1:17" ht="12.75">
      <c r="A548" s="1" t="s">
        <v>214</v>
      </c>
      <c r="B548" t="s">
        <v>56</v>
      </c>
      <c r="C548"/>
      <c r="D548" s="34">
        <v>573</v>
      </c>
      <c r="E548" s="1" t="str">
        <f>L426</f>
        <v>Winter</v>
      </c>
      <c r="F548" s="1" t="str">
        <f>M426</f>
        <v>Alaska Railroad</v>
      </c>
      <c r="G548" s="1">
        <f>N426</f>
        <v>2.5</v>
      </c>
      <c r="H548" s="1">
        <f>O426</f>
        <v>1280.5</v>
      </c>
      <c r="I548" s="33">
        <f>G548/G547</f>
        <v>0.05</v>
      </c>
      <c r="J548" s="33">
        <f>H548/H547</f>
        <v>0.09612482940751672</v>
      </c>
      <c r="K548" s="1"/>
      <c r="L548"/>
      <c r="M548"/>
      <c r="N548"/>
      <c r="O548"/>
      <c r="P548" s="33"/>
      <c r="Q548"/>
    </row>
    <row r="549" spans="1:17" ht="12.75">
      <c r="A549" s="1">
        <f>A428</f>
        <v>2009</v>
      </c>
      <c r="B549" t="s">
        <v>210</v>
      </c>
      <c r="C549"/>
      <c r="D549" s="18">
        <f>D547</f>
        <v>770.538</v>
      </c>
      <c r="E549" s="1" t="str">
        <f>L444</f>
        <v>Summer</v>
      </c>
      <c r="F549" s="1" t="str">
        <f>M444</f>
        <v>Alaska Railroad</v>
      </c>
      <c r="G549" s="1">
        <f>N444</f>
        <v>50</v>
      </c>
      <c r="H549" s="1">
        <f>O444</f>
        <v>13321.220000000001</v>
      </c>
      <c r="I549" s="1"/>
      <c r="J549" s="1"/>
      <c r="K549" s="1"/>
      <c r="L549"/>
      <c r="M549"/>
      <c r="N549"/>
      <c r="O549"/>
      <c r="P549" s="33"/>
      <c r="Q549" s="33"/>
    </row>
    <row r="550" spans="1:17" ht="12.75">
      <c r="A550" s="1" t="s">
        <v>215</v>
      </c>
      <c r="B550" t="s">
        <v>56</v>
      </c>
      <c r="C550"/>
      <c r="D550" s="34">
        <v>573</v>
      </c>
      <c r="E550" s="1" t="str">
        <f>L445</f>
        <v>Winter</v>
      </c>
      <c r="F550" s="1" t="str">
        <f>M445</f>
        <v>Alaska Railroad</v>
      </c>
      <c r="G550" s="1">
        <f>N445</f>
        <v>2.5</v>
      </c>
      <c r="H550" s="1">
        <f>O445</f>
        <v>1280.5</v>
      </c>
      <c r="I550" s="33">
        <f>G550/G549</f>
        <v>0.05</v>
      </c>
      <c r="J550" s="33">
        <f>H550/H549</f>
        <v>0.09612482940751672</v>
      </c>
      <c r="K550" s="1"/>
      <c r="L550"/>
      <c r="M550"/>
      <c r="N550"/>
      <c r="O550"/>
      <c r="P550" s="33"/>
      <c r="Q550" s="33"/>
    </row>
    <row r="551" spans="1:17" ht="12.75">
      <c r="A551" s="1">
        <f>A447</f>
        <v>2012</v>
      </c>
      <c r="B551" t="s">
        <v>210</v>
      </c>
      <c r="C551"/>
      <c r="D551" s="18">
        <f>D549</f>
        <v>770.538</v>
      </c>
      <c r="E551" s="1" t="str">
        <f>L477</f>
        <v>Summer</v>
      </c>
      <c r="F551" s="1" t="str">
        <f>M477</f>
        <v>Alaska Railroad</v>
      </c>
      <c r="G551" s="1">
        <f>N477</f>
        <v>50</v>
      </c>
      <c r="H551" s="1">
        <f>O477</f>
        <v>13321.220000000001</v>
      </c>
      <c r="I551" s="1"/>
      <c r="J551" s="1"/>
      <c r="K551" s="1"/>
      <c r="L551"/>
      <c r="M551"/>
      <c r="N551"/>
      <c r="O551"/>
      <c r="P551" s="1"/>
      <c r="Q551" s="1"/>
    </row>
    <row r="552" spans="1:17" ht="12.75">
      <c r="A552" s="1" t="s">
        <v>216</v>
      </c>
      <c r="B552" t="s">
        <v>56</v>
      </c>
      <c r="C552"/>
      <c r="D552" s="34">
        <v>573</v>
      </c>
      <c r="E552" s="1" t="str">
        <f>L480</f>
        <v>Winter</v>
      </c>
      <c r="F552" s="1" t="str">
        <f>M480</f>
        <v>Alaska Railroad</v>
      </c>
      <c r="G552" s="1">
        <f>N480</f>
        <v>2.5</v>
      </c>
      <c r="H552" s="1">
        <f>O480</f>
        <v>1280.5</v>
      </c>
      <c r="I552" s="33">
        <f>G552/G551</f>
        <v>0.05</v>
      </c>
      <c r="J552" s="33">
        <f>H552/H551</f>
        <v>0.09612482940751672</v>
      </c>
      <c r="K552" s="1"/>
      <c r="L552"/>
      <c r="M552"/>
      <c r="N552"/>
      <c r="O552"/>
      <c r="P552" s="33"/>
      <c r="Q552" s="33"/>
    </row>
    <row r="553" spans="1:17" ht="12.75">
      <c r="A553" s="1" t="s">
        <v>217</v>
      </c>
      <c r="B553" t="s">
        <v>56</v>
      </c>
      <c r="C553"/>
      <c r="D553" s="34">
        <v>573</v>
      </c>
      <c r="E553" s="1" t="str">
        <f>L518</f>
        <v>Winter</v>
      </c>
      <c r="F553" s="1" t="str">
        <f>M518</f>
        <v>Alaska Railroad</v>
      </c>
      <c r="G553" s="1">
        <f>N518</f>
        <v>2.5</v>
      </c>
      <c r="H553" s="1">
        <f>O518</f>
        <v>1280.5</v>
      </c>
      <c r="I553" s="33">
        <f>G553/G554</f>
        <v>0.0390625</v>
      </c>
      <c r="J553" s="33">
        <f>H553/H554</f>
        <v>0.0688988346653954</v>
      </c>
      <c r="K553" s="1"/>
      <c r="L553"/>
      <c r="M553"/>
      <c r="N553"/>
      <c r="O553"/>
      <c r="P553" s="33"/>
      <c r="Q553" s="33"/>
    </row>
    <row r="554" spans="1:17" ht="12.75">
      <c r="A554" s="1">
        <f>A482</f>
        <v>2015</v>
      </c>
      <c r="B554" t="s">
        <v>210</v>
      </c>
      <c r="C554"/>
      <c r="D554" s="18">
        <f>D551</f>
        <v>770.538</v>
      </c>
      <c r="E554" s="1" t="str">
        <f>L515</f>
        <v>Summer</v>
      </c>
      <c r="F554" s="1" t="str">
        <f>M515</f>
        <v>Alaska Railroad</v>
      </c>
      <c r="G554" s="1">
        <f>N515</f>
        <v>64</v>
      </c>
      <c r="H554" s="1">
        <f>O515</f>
        <v>18585.22</v>
      </c>
      <c r="I554" s="1"/>
      <c r="J554" s="1"/>
      <c r="K554" s="1"/>
      <c r="L554"/>
      <c r="M554"/>
      <c r="N554"/>
      <c r="O554"/>
      <c r="P554" s="1"/>
      <c r="Q554" s="1"/>
    </row>
    <row r="555" spans="2:17" ht="12.75">
      <c r="B555" s="1"/>
      <c r="C555"/>
      <c r="D555" s="1"/>
      <c r="E555"/>
      <c r="F555"/>
      <c r="G555"/>
      <c r="H555"/>
      <c r="I555" s="1"/>
      <c r="J555" s="33"/>
      <c r="K555" s="1"/>
      <c r="L555"/>
      <c r="M555"/>
      <c r="N555"/>
      <c r="O555"/>
      <c r="P555" s="1"/>
      <c r="Q555" s="1"/>
    </row>
    <row r="556" spans="2:17" ht="12.75">
      <c r="B556" s="1"/>
      <c r="C556"/>
      <c r="D556" s="1"/>
      <c r="E556"/>
      <c r="F556"/>
      <c r="G556"/>
      <c r="H556"/>
      <c r="I556" s="1"/>
      <c r="J556" s="33"/>
      <c r="K556" s="1"/>
      <c r="L556"/>
      <c r="M556"/>
      <c r="N556"/>
      <c r="O556"/>
      <c r="P556" s="33"/>
      <c r="Q556" s="33"/>
    </row>
    <row r="557" spans="2:17" ht="12.75">
      <c r="B557" s="1"/>
      <c r="C557" s="1"/>
      <c r="D557" s="1"/>
      <c r="E557" s="1"/>
      <c r="F557" s="1"/>
      <c r="G557" s="1"/>
      <c r="H557" s="1"/>
      <c r="I557" s="1"/>
      <c r="J557" s="1"/>
      <c r="K557" s="1"/>
      <c r="L557"/>
      <c r="M557"/>
      <c r="N557"/>
      <c r="O557"/>
      <c r="P557" s="33"/>
      <c r="Q557" s="33"/>
    </row>
    <row r="558" spans="2:17" ht="12.75">
      <c r="B558" s="1"/>
      <c r="C558" s="1"/>
      <c r="D558" s="1"/>
      <c r="E558" s="1"/>
      <c r="F558" s="1"/>
      <c r="G558" s="1"/>
      <c r="H558" s="1"/>
      <c r="I558" s="1"/>
      <c r="J558" s="1"/>
      <c r="K558" s="1"/>
      <c r="L558" s="1"/>
      <c r="M558" s="1"/>
      <c r="N558" s="1"/>
      <c r="O558" s="1"/>
      <c r="P558" s="1"/>
      <c r="Q558" s="1"/>
    </row>
    <row r="559" spans="2:17" ht="12.75">
      <c r="B559" s="1"/>
      <c r="C559" s="1"/>
      <c r="D559" s="1"/>
      <c r="E559" s="1"/>
      <c r="F559" s="1"/>
      <c r="G559" s="1"/>
      <c r="H559" s="1"/>
      <c r="I559" s="1"/>
      <c r="J559" s="1"/>
      <c r="K559" s="1"/>
      <c r="L559" s="1"/>
      <c r="M559" s="1"/>
      <c r="N559" s="1"/>
      <c r="O559" s="1"/>
      <c r="P559" s="1"/>
      <c r="Q559" s="1"/>
    </row>
    <row r="560" spans="2:17" ht="12.75">
      <c r="B560" s="1"/>
      <c r="C560" s="1"/>
      <c r="D560" s="1"/>
      <c r="E560" s="1"/>
      <c r="F560" s="1"/>
      <c r="G560" s="1"/>
      <c r="H560" s="1"/>
      <c r="I560" s="1"/>
      <c r="J560" s="1"/>
      <c r="K560" s="1"/>
      <c r="L560" s="1"/>
      <c r="M560" s="1"/>
      <c r="N560" s="1"/>
      <c r="O560" s="1"/>
      <c r="P560" s="1"/>
      <c r="Q560" s="1"/>
    </row>
    <row r="561" spans="2:17" ht="12.75">
      <c r="B561" s="1"/>
      <c r="C561" s="1"/>
      <c r="D561" s="1"/>
      <c r="E561" s="1"/>
      <c r="F561" s="1"/>
      <c r="G561" s="1"/>
      <c r="H561" s="1"/>
      <c r="I561" s="1"/>
      <c r="J561" s="1"/>
      <c r="K561" s="1"/>
      <c r="L561" s="1"/>
      <c r="M561" s="1"/>
      <c r="N561" s="1"/>
      <c r="O561" s="1"/>
      <c r="P561" s="1"/>
      <c r="Q561" s="1"/>
    </row>
    <row r="562" spans="2:17" ht="12.75">
      <c r="B562" s="1"/>
      <c r="C562" s="1"/>
      <c r="D562" s="1"/>
      <c r="E562" s="1"/>
      <c r="F562" s="1"/>
      <c r="G562" s="1"/>
      <c r="H562" s="1"/>
      <c r="I562" s="1"/>
      <c r="J562" s="1"/>
      <c r="K562" s="1"/>
      <c r="L562" s="1"/>
      <c r="M562" s="1"/>
      <c r="N562" s="1"/>
      <c r="O562" s="1"/>
      <c r="P562" s="1"/>
      <c r="Q562" s="1"/>
    </row>
    <row r="563" spans="1:17" ht="12.75">
      <c r="A563"/>
      <c r="B563"/>
      <c r="C563"/>
      <c r="D563"/>
      <c r="E563"/>
      <c r="F563"/>
      <c r="G563"/>
      <c r="H563"/>
      <c r="I563"/>
      <c r="J563"/>
      <c r="K563" s="1"/>
      <c r="L563" s="1"/>
      <c r="M563" s="1"/>
      <c r="N563" s="1"/>
      <c r="O563" s="1"/>
      <c r="P563" s="1"/>
      <c r="Q563" s="1"/>
    </row>
    <row r="564" spans="2:17" ht="12.75">
      <c r="B564" s="1"/>
      <c r="C564" s="1"/>
      <c r="D564" s="1"/>
      <c r="E564" s="1"/>
      <c r="F564" s="1"/>
      <c r="G564" s="1"/>
      <c r="H564" s="1"/>
      <c r="I564" s="1"/>
      <c r="J564" s="1"/>
      <c r="K564" s="1"/>
      <c r="L564" s="1"/>
      <c r="M564" s="1"/>
      <c r="N564" s="1"/>
      <c r="O564" s="1"/>
      <c r="P564" s="1"/>
      <c r="Q564" s="1"/>
    </row>
    <row r="565" spans="2:17" ht="12.75">
      <c r="B565" s="1"/>
      <c r="C565" s="1"/>
      <c r="D565" s="1"/>
      <c r="E565" s="1"/>
      <c r="F565" s="1"/>
      <c r="G565" s="1"/>
      <c r="H565" s="1"/>
      <c r="I565" s="1"/>
      <c r="J565" s="1"/>
      <c r="K565" s="1"/>
      <c r="L565" s="1"/>
      <c r="M565" s="1"/>
      <c r="N565" s="1"/>
      <c r="O565" s="1"/>
      <c r="P565" s="1"/>
      <c r="Q565" s="1"/>
    </row>
    <row r="566" spans="2:17" ht="12.75">
      <c r="B566" s="1"/>
      <c r="C566" s="1"/>
      <c r="D566" s="1"/>
      <c r="E566" s="1"/>
      <c r="F566" s="1"/>
      <c r="G566" s="1"/>
      <c r="H566" s="1"/>
      <c r="I566" s="1"/>
      <c r="J566" s="1"/>
      <c r="K566" s="1"/>
      <c r="L566" s="1"/>
      <c r="M566" s="1"/>
      <c r="N566" s="1"/>
      <c r="O566" s="1"/>
      <c r="P566" s="1"/>
      <c r="Q566" s="1"/>
    </row>
    <row r="567" spans="1:256" ht="12.75">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row>
    <row r="568" spans="2:17" ht="12.75">
      <c r="B568" s="1"/>
      <c r="C568" s="1"/>
      <c r="D568" s="1"/>
      <c r="E568" s="1"/>
      <c r="F568" s="1"/>
      <c r="G568" s="1"/>
      <c r="H568" s="1"/>
      <c r="I568" s="1"/>
      <c r="J568" s="1"/>
      <c r="K568" s="1"/>
      <c r="L568" s="1"/>
      <c r="M568" s="1"/>
      <c r="N568" s="1"/>
      <c r="O568" s="1"/>
      <c r="P568" s="1"/>
      <c r="Q568" s="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0.xml><?xml version="1.0" encoding="utf-8"?>
<worksheet xmlns="http://schemas.openxmlformats.org/spreadsheetml/2006/main" xmlns:r="http://schemas.openxmlformats.org/officeDocument/2006/relationships">
  <dimension ref="A1:L177"/>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3" ht="12.75">
      <c r="A1" s="3" t="s">
        <v>342</v>
      </c>
      <c r="C1" s="3" t="s">
        <v>34</v>
      </c>
    </row>
    <row r="2" spans="1:6" ht="12.75">
      <c r="A2" s="50" t="s">
        <v>2</v>
      </c>
      <c r="B2" s="36" t="s">
        <v>222</v>
      </c>
      <c r="C2" s="42" t="s">
        <v>223</v>
      </c>
      <c r="D2" s="19"/>
      <c r="E2" s="41" t="s">
        <v>57</v>
      </c>
      <c r="F2" s="41" t="s">
        <v>57</v>
      </c>
    </row>
    <row r="3" spans="1:6" ht="12.75">
      <c r="A3" s="16"/>
      <c r="C3" s="35" t="s">
        <v>266</v>
      </c>
      <c r="D3" s="19"/>
      <c r="E3">
        <v>6</v>
      </c>
      <c r="F3">
        <v>8</v>
      </c>
    </row>
    <row r="4" spans="1:6" ht="12.75">
      <c r="A4" s="16"/>
      <c r="C4" s="19"/>
      <c r="D4" s="19"/>
      <c r="E4" s="36" t="s">
        <v>36</v>
      </c>
      <c r="F4" s="36" t="s">
        <v>47</v>
      </c>
    </row>
    <row r="5" spans="1:10" ht="12.75">
      <c r="A5">
        <v>0</v>
      </c>
      <c r="B5" s="17">
        <f>0.3048*38</f>
        <v>11.5824</v>
      </c>
      <c r="C5" s="19" t="s">
        <v>245</v>
      </c>
      <c r="D5" s="19" t="s">
        <v>241</v>
      </c>
      <c r="E5" s="39">
        <v>0.375</v>
      </c>
      <c r="F5" s="39">
        <f>E5+10/24</f>
        <v>0.7916666666666667</v>
      </c>
      <c r="I5" s="37"/>
      <c r="J5" s="37"/>
    </row>
    <row r="6" spans="1:6" ht="12.75">
      <c r="A6">
        <v>4</v>
      </c>
      <c r="B6" s="17">
        <f>0.3048*40</f>
        <v>12.192</v>
      </c>
      <c r="C6" s="19" t="s">
        <v>292</v>
      </c>
      <c r="D6" s="47" t="s">
        <v>286</v>
      </c>
      <c r="E6" s="39">
        <v>0.38055555555555554</v>
      </c>
      <c r="F6" s="39">
        <f>E6+10/24</f>
        <v>0.7972222222222223</v>
      </c>
    </row>
    <row r="7" spans="1:6" ht="12.75">
      <c r="A7">
        <v>8</v>
      </c>
      <c r="B7" s="17">
        <f>0.3048*222</f>
        <v>67.6656</v>
      </c>
      <c r="C7" s="19" t="s">
        <v>293</v>
      </c>
      <c r="D7" s="47" t="s">
        <v>286</v>
      </c>
      <c r="E7" s="39">
        <v>0.3854166666666667</v>
      </c>
      <c r="F7" s="39">
        <f>E7+10/24</f>
        <v>0.8020833333333334</v>
      </c>
    </row>
    <row r="8" spans="1:6" ht="12.75">
      <c r="A8">
        <v>20</v>
      </c>
      <c r="B8" s="17">
        <f>0.3048*197</f>
        <v>60.0456</v>
      </c>
      <c r="C8" s="19" t="s">
        <v>294</v>
      </c>
      <c r="D8" s="47" t="s">
        <v>286</v>
      </c>
      <c r="E8" s="39">
        <v>0.3958333333333333</v>
      </c>
      <c r="F8" s="39">
        <f>E8+10/24</f>
        <v>0.8125</v>
      </c>
    </row>
    <row r="9" spans="1:6" ht="12.75">
      <c r="A9">
        <v>35</v>
      </c>
      <c r="B9" s="17">
        <f>0.3048*92</f>
        <v>28.041600000000003</v>
      </c>
      <c r="C9" s="19" t="s">
        <v>295</v>
      </c>
      <c r="D9" s="47" t="s">
        <v>286</v>
      </c>
      <c r="E9" s="39">
        <v>0.4097222222222222</v>
      </c>
      <c r="F9" s="39">
        <f>E9+10/24</f>
        <v>0.8263888888888888</v>
      </c>
    </row>
    <row r="10" spans="1:6" ht="12.75">
      <c r="A10">
        <v>43</v>
      </c>
      <c r="B10" s="17">
        <f>0.3048*50</f>
        <v>15.24</v>
      </c>
      <c r="C10" s="19" t="s">
        <v>296</v>
      </c>
      <c r="D10" s="47" t="s">
        <v>286</v>
      </c>
      <c r="E10" s="39">
        <v>0.4166666666666667</v>
      </c>
      <c r="F10" s="39">
        <f>E10+10/24</f>
        <v>0.8333333333333334</v>
      </c>
    </row>
    <row r="11" spans="1:6" ht="12.75">
      <c r="A11">
        <v>59</v>
      </c>
      <c r="B11" s="17">
        <f>0.3048*36</f>
        <v>10.972800000000001</v>
      </c>
      <c r="C11" s="19" t="s">
        <v>247</v>
      </c>
      <c r="D11" s="47"/>
      <c r="E11" s="39">
        <v>0.42916666666666664</v>
      </c>
      <c r="F11" s="39">
        <f>E11+10/24</f>
        <v>0.8458333333333333</v>
      </c>
    </row>
    <row r="12" spans="1:6" ht="12.75">
      <c r="A12">
        <v>73</v>
      </c>
      <c r="B12" s="17">
        <f>0.3048*339</f>
        <v>103.3272</v>
      </c>
      <c r="C12" s="19" t="s">
        <v>248</v>
      </c>
      <c r="D12" s="47"/>
      <c r="E12" s="39">
        <v>0.44583333333333336</v>
      </c>
      <c r="F12" s="39">
        <f>E12+10/24</f>
        <v>0.8625</v>
      </c>
    </row>
    <row r="13" spans="1:6" ht="12.75">
      <c r="A13">
        <v>84</v>
      </c>
      <c r="B13" s="17">
        <f>0.3048*300</f>
        <v>91.44</v>
      </c>
      <c r="C13" s="19" t="s">
        <v>297</v>
      </c>
      <c r="D13" s="47" t="s">
        <v>286</v>
      </c>
      <c r="E13" s="39">
        <v>0.4534722222222222</v>
      </c>
      <c r="F13" s="39">
        <f>E13+10/24</f>
        <v>0.8701388888888889</v>
      </c>
    </row>
    <row r="14" spans="1:6" ht="12.75">
      <c r="A14">
        <v>98</v>
      </c>
      <c r="B14" s="17">
        <f>0.3048*246</f>
        <v>74.9808</v>
      </c>
      <c r="C14" t="s">
        <v>298</v>
      </c>
      <c r="D14" s="47" t="s">
        <v>286</v>
      </c>
      <c r="E14" s="39">
        <v>0.46319444444444446</v>
      </c>
      <c r="F14" s="39">
        <f>E14+10/24</f>
        <v>0.8798611111111112</v>
      </c>
    </row>
    <row r="15" spans="1:6" ht="12.75">
      <c r="A15">
        <v>107</v>
      </c>
      <c r="B15" s="17">
        <f>0.3048*236</f>
        <v>71.9328</v>
      </c>
      <c r="C15" t="s">
        <v>299</v>
      </c>
      <c r="D15" s="47" t="s">
        <v>286</v>
      </c>
      <c r="E15" s="39">
        <v>0.46805555555555556</v>
      </c>
      <c r="F15" s="39">
        <f>E15+10/24</f>
        <v>0.8847222222222222</v>
      </c>
    </row>
    <row r="16" spans="1:6" ht="12.75">
      <c r="A16">
        <v>115</v>
      </c>
      <c r="B16" s="17">
        <f>0.3048*232</f>
        <v>70.7136</v>
      </c>
      <c r="C16" t="s">
        <v>300</v>
      </c>
      <c r="D16" s="47"/>
      <c r="E16" s="39">
        <v>0.4756944444444444</v>
      </c>
      <c r="F16" s="39">
        <f>E16+10/24</f>
        <v>0.8923611111111112</v>
      </c>
    </row>
    <row r="17" spans="1:6" ht="12.75">
      <c r="A17">
        <v>123</v>
      </c>
      <c r="B17" s="17">
        <f>0.3048*175</f>
        <v>53.34</v>
      </c>
      <c r="C17" t="s">
        <v>301</v>
      </c>
      <c r="D17" s="47" t="s">
        <v>286</v>
      </c>
      <c r="E17" s="39">
        <v>0.4791666666666667</v>
      </c>
      <c r="F17" s="39">
        <f>E17+10/24</f>
        <v>0.8958333333333334</v>
      </c>
    </row>
    <row r="18" spans="1:6" ht="12.75">
      <c r="A18">
        <v>128</v>
      </c>
      <c r="B18" s="17">
        <f>0.3048*236</f>
        <v>71.9328</v>
      </c>
      <c r="C18" t="s">
        <v>302</v>
      </c>
      <c r="D18" s="47" t="s">
        <v>286</v>
      </c>
      <c r="E18" s="39">
        <v>0.48541666666666666</v>
      </c>
      <c r="F18" s="39">
        <f>E18+10/24</f>
        <v>0.9020833333333333</v>
      </c>
    </row>
    <row r="19" spans="1:12" ht="12.75">
      <c r="A19">
        <v>142</v>
      </c>
      <c r="B19" s="17">
        <f>0.3048*246</f>
        <v>74.9808</v>
      </c>
      <c r="C19" t="s">
        <v>303</v>
      </c>
      <c r="D19" s="47" t="s">
        <v>286</v>
      </c>
      <c r="E19" s="39">
        <v>0.4965277777777778</v>
      </c>
      <c r="F19" s="39">
        <f>E19+10/24</f>
        <v>0.9131944444444444</v>
      </c>
      <c r="K19" s="37"/>
      <c r="L19" s="37"/>
    </row>
    <row r="20" spans="1:6" ht="12.75">
      <c r="A20">
        <v>150</v>
      </c>
      <c r="B20" s="17">
        <f>0.3048*240</f>
        <v>73.152</v>
      </c>
      <c r="C20" t="s">
        <v>304</v>
      </c>
      <c r="D20" s="47" t="s">
        <v>286</v>
      </c>
      <c r="E20" s="60" t="s">
        <v>286</v>
      </c>
      <c r="F20" s="60" t="s">
        <v>286</v>
      </c>
    </row>
    <row r="21" spans="1:6" ht="12.75">
      <c r="A21">
        <v>153</v>
      </c>
      <c r="B21" s="17">
        <f>0.3048*282</f>
        <v>85.95360000000001</v>
      </c>
      <c r="C21" t="s">
        <v>305</v>
      </c>
      <c r="D21" s="47" t="s">
        <v>286</v>
      </c>
      <c r="E21" s="39">
        <v>0.50625</v>
      </c>
      <c r="F21" s="39">
        <f>E21+10/24</f>
        <v>0.9229166666666666</v>
      </c>
    </row>
    <row r="22" spans="1:6" ht="12.75">
      <c r="A22">
        <v>156</v>
      </c>
      <c r="B22" s="17">
        <f>0.3048*260</f>
        <v>79.248</v>
      </c>
      <c r="C22" t="s">
        <v>306</v>
      </c>
      <c r="D22" s="47" t="s">
        <v>286</v>
      </c>
      <c r="E22" s="60" t="s">
        <v>286</v>
      </c>
      <c r="F22" s="60" t="s">
        <v>286</v>
      </c>
    </row>
    <row r="23" spans="1:6" ht="12.75">
      <c r="A23">
        <v>163</v>
      </c>
      <c r="B23" s="17">
        <f>0.3048*328</f>
        <v>99.9744</v>
      </c>
      <c r="C23" t="s">
        <v>307</v>
      </c>
      <c r="D23" s="47" t="s">
        <v>286</v>
      </c>
      <c r="E23" s="39">
        <v>0.5131944444444444</v>
      </c>
      <c r="F23" s="39">
        <f>E23+10/24</f>
        <v>0.929861111111111</v>
      </c>
    </row>
    <row r="24" spans="1:6" ht="12.75">
      <c r="A24">
        <v>172</v>
      </c>
      <c r="B24" s="17">
        <f>0.3048*310</f>
        <v>94.488</v>
      </c>
      <c r="C24" t="s">
        <v>308</v>
      </c>
      <c r="D24" s="47" t="s">
        <v>286</v>
      </c>
      <c r="E24" s="60" t="s">
        <v>286</v>
      </c>
      <c r="F24" s="60" t="s">
        <v>286</v>
      </c>
    </row>
    <row r="25" spans="1:6" ht="12.75">
      <c r="A25">
        <v>181</v>
      </c>
      <c r="B25" s="17">
        <f>0.3048*354</f>
        <v>107.89920000000001</v>
      </c>
      <c r="C25" s="19" t="s">
        <v>249</v>
      </c>
      <c r="D25" s="19"/>
      <c r="E25" s="39">
        <v>0.5270833333333333</v>
      </c>
      <c r="F25" s="39">
        <f>E25+10/24</f>
        <v>0.9437500000000001</v>
      </c>
    </row>
    <row r="26" spans="1:6" ht="12.75">
      <c r="A26">
        <v>196</v>
      </c>
      <c r="B26" s="17">
        <f>0.3048*461</f>
        <v>140.5128</v>
      </c>
      <c r="C26" s="19" t="s">
        <v>309</v>
      </c>
      <c r="D26" s="47" t="s">
        <v>286</v>
      </c>
      <c r="E26" s="39">
        <v>0.5381944444444444</v>
      </c>
      <c r="F26" s="39">
        <f>E26+10/24</f>
        <v>0.9548611111111112</v>
      </c>
    </row>
    <row r="27" spans="1:6" ht="12.75">
      <c r="A27">
        <v>216</v>
      </c>
      <c r="B27" s="17">
        <f>0.3048*546</f>
        <v>166.4208</v>
      </c>
      <c r="C27" s="19" t="s">
        <v>250</v>
      </c>
      <c r="D27" s="47" t="s">
        <v>286</v>
      </c>
      <c r="E27" s="39">
        <v>0.5555555555555556</v>
      </c>
      <c r="F27" s="39">
        <f>E27+10/24</f>
        <v>0.9722222222222223</v>
      </c>
    </row>
    <row r="28" spans="1:6" ht="12.75">
      <c r="A28">
        <v>231</v>
      </c>
      <c r="B28" s="17">
        <f>0.3048*621</f>
        <v>189.2808</v>
      </c>
      <c r="C28" s="19" t="s">
        <v>310</v>
      </c>
      <c r="D28" s="47" t="s">
        <v>286</v>
      </c>
      <c r="E28" s="39">
        <v>0.5673611111111111</v>
      </c>
      <c r="F28" s="39">
        <f>E28+10/24</f>
        <v>0.9840277777777777</v>
      </c>
    </row>
    <row r="29" spans="1:6" ht="12.75">
      <c r="A29">
        <v>240</v>
      </c>
      <c r="B29" s="17">
        <f>0.3048*731</f>
        <v>222.80880000000002</v>
      </c>
      <c r="C29" s="19" t="s">
        <v>311</v>
      </c>
      <c r="D29" s="47" t="s">
        <v>286</v>
      </c>
      <c r="E29" s="39">
        <v>0.5743055555555555</v>
      </c>
      <c r="F29" s="39">
        <f>E29+10/24</f>
        <v>0.9909722222222221</v>
      </c>
    </row>
    <row r="30" spans="1:6" ht="12.75">
      <c r="A30">
        <v>248</v>
      </c>
      <c r="B30" s="17">
        <f>0.3048*879</f>
        <v>267.9192</v>
      </c>
      <c r="C30" s="19" t="s">
        <v>312</v>
      </c>
      <c r="D30" s="47" t="s">
        <v>286</v>
      </c>
      <c r="E30" s="39">
        <v>0.5819444444444445</v>
      </c>
      <c r="F30" s="39">
        <f>E30+10/24</f>
        <v>0.9986111111111111</v>
      </c>
    </row>
    <row r="31" spans="1:6" ht="12.75">
      <c r="A31">
        <v>257</v>
      </c>
      <c r="B31" s="17">
        <f>0.3048*1280</f>
        <v>390.144</v>
      </c>
      <c r="C31" s="19" t="s">
        <v>313</v>
      </c>
      <c r="D31" s="47" t="s">
        <v>286</v>
      </c>
      <c r="E31" s="39">
        <v>0.5923611111111111</v>
      </c>
      <c r="F31" s="39">
        <f>E31+10/24</f>
        <v>1.0090277777777779</v>
      </c>
    </row>
    <row r="32" spans="1:6" ht="12.75">
      <c r="A32">
        <v>269</v>
      </c>
      <c r="B32" s="17">
        <f>0.3048*1688</f>
        <v>514.5024000000001</v>
      </c>
      <c r="C32" s="19" t="s">
        <v>252</v>
      </c>
      <c r="D32" s="47" t="s">
        <v>286</v>
      </c>
      <c r="E32" s="39">
        <v>0.6076388888888888</v>
      </c>
      <c r="F32" s="39">
        <f>E32+10/24</f>
        <v>1.0243055555555556</v>
      </c>
    </row>
    <row r="33" spans="1:6" ht="12.75">
      <c r="A33">
        <v>281</v>
      </c>
      <c r="B33" s="17">
        <f>0.3048*1456</f>
        <v>443.78880000000004</v>
      </c>
      <c r="C33" t="s">
        <v>314</v>
      </c>
      <c r="D33" s="47" t="s">
        <v>286</v>
      </c>
      <c r="E33" s="39">
        <v>0.6215277777777778</v>
      </c>
      <c r="F33" s="39">
        <f>E33+10/24</f>
        <v>1.0381944444444444</v>
      </c>
    </row>
    <row r="34" spans="1:6" ht="12.75">
      <c r="A34">
        <v>294</v>
      </c>
      <c r="B34" s="17">
        <f>0.3048*1954</f>
        <v>595.5792</v>
      </c>
      <c r="C34" t="s">
        <v>315</v>
      </c>
      <c r="D34" s="47" t="s">
        <v>286</v>
      </c>
      <c r="E34" s="39">
        <v>0.6326388888888889</v>
      </c>
      <c r="F34" s="39">
        <f>E34+10/24</f>
        <v>1.0493055555555555</v>
      </c>
    </row>
    <row r="35" spans="1:6" ht="12.75">
      <c r="A35">
        <v>306</v>
      </c>
      <c r="B35" s="17">
        <f>0.3048*2127</f>
        <v>648.3096</v>
      </c>
      <c r="C35" t="s">
        <v>253</v>
      </c>
      <c r="D35" s="47" t="s">
        <v>286</v>
      </c>
      <c r="E35" s="39">
        <v>0.6423611111111112</v>
      </c>
      <c r="F35" s="39">
        <f>E35+10/24</f>
        <v>1.059027777777778</v>
      </c>
    </row>
    <row r="36" spans="1:6" ht="12.75">
      <c r="A36">
        <v>319</v>
      </c>
      <c r="B36" s="17">
        <f>0.3048*2337</f>
        <v>712.3176000000001</v>
      </c>
      <c r="C36" t="s">
        <v>125</v>
      </c>
      <c r="D36" s="47"/>
      <c r="E36" s="39">
        <v>0.6527777777777778</v>
      </c>
      <c r="F36" s="39">
        <f>E36+10/24</f>
        <v>1.0694444444444444</v>
      </c>
    </row>
    <row r="37" spans="1:6" ht="12.75">
      <c r="A37">
        <v>330</v>
      </c>
      <c r="B37" s="17">
        <f>0.3048*2212</f>
        <v>674.2176000000001</v>
      </c>
      <c r="C37" t="s">
        <v>254</v>
      </c>
      <c r="D37" s="47"/>
      <c r="E37" s="39">
        <v>0.6625</v>
      </c>
      <c r="F37" s="39">
        <f>E37+10/24</f>
        <v>1.0791666666666666</v>
      </c>
    </row>
    <row r="38" spans="1:6" ht="12.75">
      <c r="A38">
        <v>342</v>
      </c>
      <c r="B38" s="17">
        <f>0.3048*2056</f>
        <v>626.6688</v>
      </c>
      <c r="C38" s="19" t="s">
        <v>316</v>
      </c>
      <c r="D38" s="47" t="s">
        <v>286</v>
      </c>
      <c r="E38" s="39">
        <v>0.6729166666666667</v>
      </c>
      <c r="F38" s="39">
        <f>E38+10/24</f>
        <v>1.0895833333333333</v>
      </c>
    </row>
    <row r="39" spans="1:6" ht="12.75">
      <c r="A39">
        <v>354</v>
      </c>
      <c r="B39" s="17">
        <f>0.3048*1957</f>
        <v>596.4936</v>
      </c>
      <c r="C39" t="s">
        <v>317</v>
      </c>
      <c r="D39" s="47" t="s">
        <v>286</v>
      </c>
      <c r="E39" s="39">
        <v>0.6840277777777778</v>
      </c>
      <c r="F39" s="39">
        <f>E39+10/24</f>
        <v>1.1006944444444444</v>
      </c>
    </row>
    <row r="40" spans="1:6" ht="12.75">
      <c r="A40">
        <v>369</v>
      </c>
      <c r="B40" s="17">
        <f>0.3048*1890</f>
        <v>576.072</v>
      </c>
      <c r="C40" t="s">
        <v>318</v>
      </c>
      <c r="D40" s="47" t="s">
        <v>286</v>
      </c>
      <c r="E40" s="39">
        <v>0.6979166666666666</v>
      </c>
      <c r="F40" s="39">
        <f>E40+10/24</f>
        <v>1.1145833333333333</v>
      </c>
    </row>
    <row r="41" spans="1:6" ht="12.75">
      <c r="A41">
        <v>376</v>
      </c>
      <c r="B41" s="17">
        <f>0.3048*1732</f>
        <v>527.9136</v>
      </c>
      <c r="C41" s="39" t="s">
        <v>255</v>
      </c>
      <c r="D41" s="47"/>
      <c r="E41" s="39">
        <v>0.7048611111111112</v>
      </c>
      <c r="F41" s="39">
        <f>E41+10/24</f>
        <v>1.121527777777778</v>
      </c>
    </row>
    <row r="42" spans="1:6" ht="12.75">
      <c r="A42">
        <v>388</v>
      </c>
      <c r="B42" s="17">
        <f>0.3048*1432</f>
        <v>436.47360000000003</v>
      </c>
      <c r="C42" t="s">
        <v>319</v>
      </c>
      <c r="D42" s="47" t="s">
        <v>286</v>
      </c>
      <c r="E42" s="39">
        <v>0.7256944444444444</v>
      </c>
      <c r="F42" s="39">
        <f>E42+10/24</f>
        <v>1.1423611111111112</v>
      </c>
    </row>
    <row r="43" spans="1:6" ht="12.75">
      <c r="A43">
        <v>393</v>
      </c>
      <c r="B43" s="17">
        <f>0.3048*1368</f>
        <v>416.9664</v>
      </c>
      <c r="C43" s="19" t="s">
        <v>256</v>
      </c>
      <c r="D43" s="19" t="s">
        <v>246</v>
      </c>
      <c r="E43" s="39">
        <v>0.7326388888888888</v>
      </c>
      <c r="F43" s="39">
        <f>E43+10/24</f>
        <v>1.1493055555555556</v>
      </c>
    </row>
    <row r="44" spans="1:6" ht="12.75">
      <c r="A44">
        <v>393</v>
      </c>
      <c r="B44" s="17">
        <f>0.3048*1368</f>
        <v>416.9664</v>
      </c>
      <c r="C44" s="19" t="s">
        <v>256</v>
      </c>
      <c r="D44" s="19" t="s">
        <v>241</v>
      </c>
      <c r="E44" s="39">
        <v>0.7395833333333334</v>
      </c>
      <c r="F44" s="39">
        <f>E44+10/24</f>
        <v>1.15625</v>
      </c>
    </row>
    <row r="45" spans="1:6" ht="12.75">
      <c r="A45">
        <v>401</v>
      </c>
      <c r="B45" s="17">
        <f>0.3048*1176</f>
        <v>358.44480000000004</v>
      </c>
      <c r="C45" t="s">
        <v>320</v>
      </c>
      <c r="D45" s="47" t="s">
        <v>286</v>
      </c>
      <c r="E45" s="39">
        <v>0.7465277777777778</v>
      </c>
      <c r="F45" s="39">
        <f>E45+10/24</f>
        <v>1.1631944444444444</v>
      </c>
    </row>
    <row r="46" spans="1:6" ht="12.75">
      <c r="A46">
        <v>413</v>
      </c>
      <c r="B46" s="17">
        <f>0.3048*1006</f>
        <v>306.6288</v>
      </c>
      <c r="C46" t="s">
        <v>321</v>
      </c>
      <c r="D46" s="47" t="s">
        <v>286</v>
      </c>
      <c r="E46" s="39">
        <v>0.7555555555555555</v>
      </c>
      <c r="F46" s="39">
        <f>E46+10/24</f>
        <v>1.1722222222222223</v>
      </c>
    </row>
    <row r="47" spans="1:6" ht="12.75">
      <c r="A47">
        <v>429</v>
      </c>
      <c r="B47" s="17">
        <f>0.3048*810</f>
        <v>246.888</v>
      </c>
      <c r="C47" t="s">
        <v>322</v>
      </c>
      <c r="D47" s="47" t="s">
        <v>286</v>
      </c>
      <c r="E47" s="39">
        <v>0.7666666666666667</v>
      </c>
      <c r="F47" s="39">
        <f>E47+10/24</f>
        <v>1.1833333333333333</v>
      </c>
    </row>
    <row r="48" spans="1:6" ht="12.75">
      <c r="A48">
        <v>448</v>
      </c>
      <c r="B48" s="17">
        <f>0.3048*537</f>
        <v>163.6776</v>
      </c>
      <c r="C48" t="s">
        <v>323</v>
      </c>
      <c r="D48" s="47"/>
      <c r="E48" s="39">
        <v>0.7777777777777778</v>
      </c>
      <c r="F48" s="39">
        <f>E48+10/24</f>
        <v>1.1944444444444444</v>
      </c>
    </row>
    <row r="49" spans="1:6" ht="12.75">
      <c r="A49">
        <v>462</v>
      </c>
      <c r="B49" s="17">
        <f>0.3048*433</f>
        <v>131.9784</v>
      </c>
      <c r="C49" t="s">
        <v>324</v>
      </c>
      <c r="D49" s="47" t="s">
        <v>286</v>
      </c>
      <c r="E49" s="39">
        <v>0.7888888888888889</v>
      </c>
      <c r="F49" s="39">
        <f>E49+10/24</f>
        <v>1.2055555555555555</v>
      </c>
    </row>
    <row r="50" spans="1:6" ht="12.75">
      <c r="A50">
        <v>479</v>
      </c>
      <c r="B50" s="17">
        <f>0.3048*362</f>
        <v>110.33760000000001</v>
      </c>
      <c r="C50" s="19" t="s">
        <v>257</v>
      </c>
      <c r="D50" s="47"/>
      <c r="E50" s="39">
        <v>0.8013888888888889</v>
      </c>
      <c r="F50" s="39">
        <f>E50+10/24</f>
        <v>1.2180555555555557</v>
      </c>
    </row>
    <row r="51" spans="1:6" ht="12.75">
      <c r="A51">
        <v>484</v>
      </c>
      <c r="B51" s="17">
        <f>0.3048*367</f>
        <v>111.86160000000001</v>
      </c>
      <c r="C51" s="19" t="s">
        <v>325</v>
      </c>
      <c r="D51" s="47" t="s">
        <v>286</v>
      </c>
      <c r="E51" s="39">
        <v>0.8097222222222222</v>
      </c>
      <c r="F51" s="39">
        <f>E51+10/24</f>
        <v>1.226388888888889</v>
      </c>
    </row>
    <row r="52" spans="1:6" ht="12.75">
      <c r="A52">
        <v>493</v>
      </c>
      <c r="B52" s="17">
        <f>0.3048*368</f>
        <v>112.16640000000001</v>
      </c>
      <c r="C52" s="19" t="s">
        <v>326</v>
      </c>
      <c r="D52" s="47" t="s">
        <v>286</v>
      </c>
      <c r="E52" s="39">
        <v>0.8152777777777778</v>
      </c>
      <c r="F52" s="39">
        <f>E52+10/24</f>
        <v>1.2319444444444445</v>
      </c>
    </row>
    <row r="53" spans="1:6" ht="12.75">
      <c r="A53">
        <v>511</v>
      </c>
      <c r="B53" s="17">
        <f>0.3048*368</f>
        <v>112.16640000000001</v>
      </c>
      <c r="C53" s="19" t="s">
        <v>327</v>
      </c>
      <c r="D53" s="47" t="s">
        <v>286</v>
      </c>
      <c r="E53" s="39">
        <v>0.8270833333333333</v>
      </c>
      <c r="F53" s="39">
        <f>E53+10/24</f>
        <v>1.24375</v>
      </c>
    </row>
    <row r="54" spans="1:6" ht="12.75">
      <c r="A54">
        <v>523</v>
      </c>
      <c r="B54" s="17">
        <f>0.3048*406</f>
        <v>123.7488</v>
      </c>
      <c r="C54" s="19" t="s">
        <v>328</v>
      </c>
      <c r="D54" s="47" t="s">
        <v>286</v>
      </c>
      <c r="E54" s="39">
        <v>0.8361111111111111</v>
      </c>
      <c r="F54" s="39">
        <f>E54+10/24</f>
        <v>1.2527777777777778</v>
      </c>
    </row>
    <row r="55" spans="1:6" ht="12.75">
      <c r="A55">
        <v>541</v>
      </c>
      <c r="B55" s="17">
        <f>0.3048*465</f>
        <v>141.732</v>
      </c>
      <c r="C55" s="19" t="s">
        <v>329</v>
      </c>
      <c r="D55" s="47" t="s">
        <v>286</v>
      </c>
      <c r="E55" s="39">
        <v>0.8486111111111111</v>
      </c>
      <c r="F55" s="39">
        <f>E55+10/24</f>
        <v>1.2652777777777777</v>
      </c>
    </row>
    <row r="56" spans="1:6" ht="12.75">
      <c r="A56">
        <v>550</v>
      </c>
      <c r="B56" s="17">
        <f>0.3048*520</f>
        <v>158.496</v>
      </c>
      <c r="C56" s="19" t="s">
        <v>330</v>
      </c>
      <c r="D56" s="47" t="s">
        <v>286</v>
      </c>
      <c r="E56" s="39">
        <v>0.8555555555555555</v>
      </c>
      <c r="F56" s="39">
        <f>E56+10/24</f>
        <v>1.2722222222222221</v>
      </c>
    </row>
    <row r="57" spans="1:6" ht="12.75">
      <c r="A57">
        <v>561</v>
      </c>
      <c r="B57" s="17">
        <f>0.3048*609</f>
        <v>185.6232</v>
      </c>
      <c r="C57" s="19" t="s">
        <v>331</v>
      </c>
      <c r="D57" s="47" t="s">
        <v>286</v>
      </c>
      <c r="E57" s="39">
        <v>0.8645833333333334</v>
      </c>
      <c r="F57" s="39">
        <f>E57+10/24</f>
        <v>1.28125</v>
      </c>
    </row>
    <row r="58" spans="1:6" ht="12.75">
      <c r="A58">
        <v>573</v>
      </c>
      <c r="B58" s="17">
        <f>0.3048*448</f>
        <v>136.5504</v>
      </c>
      <c r="C58" s="19" t="s">
        <v>258</v>
      </c>
      <c r="D58" s="19" t="s">
        <v>246</v>
      </c>
      <c r="E58" s="39">
        <v>0.875</v>
      </c>
      <c r="F58" s="39">
        <f>E58+10/24</f>
        <v>1.2916666666666667</v>
      </c>
    </row>
    <row r="59" spans="1:4" ht="12.75">
      <c r="A59" s="16"/>
      <c r="C59" s="19" t="s">
        <v>290</v>
      </c>
      <c r="D59" s="19"/>
    </row>
    <row r="60" ht="12.75">
      <c r="C60" t="s">
        <v>259</v>
      </c>
    </row>
    <row r="62" spans="1:6" ht="12.75">
      <c r="A62" s="50" t="s">
        <v>2</v>
      </c>
      <c r="B62" s="36" t="s">
        <v>222</v>
      </c>
      <c r="C62" s="42" t="s">
        <v>237</v>
      </c>
      <c r="D62" s="19"/>
      <c r="E62" s="41" t="s">
        <v>57</v>
      </c>
      <c r="F62" s="41" t="s">
        <v>57</v>
      </c>
    </row>
    <row r="63" spans="1:6" ht="12.75">
      <c r="A63" s="16"/>
      <c r="C63" s="35" t="s">
        <v>266</v>
      </c>
      <c r="D63" s="19"/>
      <c r="E63">
        <v>5</v>
      </c>
      <c r="F63">
        <v>7</v>
      </c>
    </row>
    <row r="64" spans="1:6" ht="12.75">
      <c r="A64" s="16"/>
      <c r="C64" s="19"/>
      <c r="D64" s="19"/>
      <c r="E64" s="36" t="s">
        <v>42</v>
      </c>
      <c r="F64" s="36" t="s">
        <v>39</v>
      </c>
    </row>
    <row r="65" spans="1:6" ht="12.75">
      <c r="A65" s="17">
        <f>A58-A58</f>
        <v>0</v>
      </c>
      <c r="B65" s="17">
        <f>B58-B58</f>
        <v>0</v>
      </c>
      <c r="C65" s="19" t="s">
        <v>258</v>
      </c>
      <c r="D65" s="19" t="s">
        <v>241</v>
      </c>
      <c r="E65" s="39">
        <v>0.375</v>
      </c>
      <c r="F65" s="39">
        <f>E65+14/24</f>
        <v>0.9583333333333334</v>
      </c>
    </row>
    <row r="66" spans="1:6" ht="12.75">
      <c r="A66" s="17">
        <f>A58-A57</f>
        <v>12</v>
      </c>
      <c r="B66" s="17">
        <f>B57</f>
        <v>185.6232</v>
      </c>
      <c r="C66" s="19" t="s">
        <v>331</v>
      </c>
      <c r="D66" s="47" t="s">
        <v>286</v>
      </c>
      <c r="E66" s="39">
        <v>0.3854166666666667</v>
      </c>
      <c r="F66" s="39">
        <f>E66+14/24</f>
        <v>0.96875</v>
      </c>
    </row>
    <row r="67" spans="1:10" ht="12.75">
      <c r="A67" s="17">
        <f>A58-A56</f>
        <v>23</v>
      </c>
      <c r="B67" s="17">
        <f>B56</f>
        <v>158.496</v>
      </c>
      <c r="C67" s="19" t="s">
        <v>330</v>
      </c>
      <c r="D67" s="47" t="s">
        <v>286</v>
      </c>
      <c r="E67" s="39">
        <v>0.39444444444444443</v>
      </c>
      <c r="F67" s="39">
        <f>E67+14/24</f>
        <v>0.9777777777777779</v>
      </c>
      <c r="I67" s="37"/>
      <c r="J67" s="37"/>
    </row>
    <row r="68" spans="1:10" ht="12.75">
      <c r="A68" s="17">
        <f>A58-A55</f>
        <v>32</v>
      </c>
      <c r="B68" s="17">
        <f>B55</f>
        <v>141.732</v>
      </c>
      <c r="C68" s="19" t="s">
        <v>329</v>
      </c>
      <c r="D68" s="47" t="s">
        <v>286</v>
      </c>
      <c r="E68" s="39">
        <v>0.4013888888888889</v>
      </c>
      <c r="F68" s="39">
        <f>E68+14/24</f>
        <v>0.9847222222222223</v>
      </c>
      <c r="I68" s="37"/>
      <c r="J68" s="37"/>
    </row>
    <row r="69" spans="1:6" ht="12.75">
      <c r="A69" s="17">
        <f>A58-A54</f>
        <v>50</v>
      </c>
      <c r="B69" s="17">
        <f>B54</f>
        <v>123.7488</v>
      </c>
      <c r="C69" s="19" t="s">
        <v>328</v>
      </c>
      <c r="D69" s="47" t="s">
        <v>286</v>
      </c>
      <c r="E69" s="39">
        <v>0.41388888888888886</v>
      </c>
      <c r="F69" s="39">
        <f>E69+14/24</f>
        <v>0.9972222222222222</v>
      </c>
    </row>
    <row r="70" spans="1:6" ht="12.75">
      <c r="A70" s="17">
        <f>A58-A53</f>
        <v>62</v>
      </c>
      <c r="B70" s="17">
        <f>B53</f>
        <v>112.16640000000001</v>
      </c>
      <c r="C70" s="19" t="s">
        <v>327</v>
      </c>
      <c r="D70" s="47" t="s">
        <v>286</v>
      </c>
      <c r="E70" s="39">
        <v>0.42291666666666666</v>
      </c>
      <c r="F70" s="39">
        <f>E70+14/24</f>
        <v>1.00625</v>
      </c>
    </row>
    <row r="71" spans="1:6" ht="12.75">
      <c r="A71" s="17">
        <f>A58-A52</f>
        <v>80</v>
      </c>
      <c r="B71" s="17">
        <f>B52</f>
        <v>112.16640000000001</v>
      </c>
      <c r="C71" s="19" t="s">
        <v>326</v>
      </c>
      <c r="D71" s="47" t="s">
        <v>286</v>
      </c>
      <c r="E71" s="39">
        <v>0.43472222222222223</v>
      </c>
      <c r="F71" s="39">
        <f>E71+14/24</f>
        <v>1.0180555555555557</v>
      </c>
    </row>
    <row r="72" spans="1:6" ht="12.75">
      <c r="A72" s="17">
        <f>A58-A51</f>
        <v>89</v>
      </c>
      <c r="B72" s="17">
        <f>B51</f>
        <v>111.86160000000001</v>
      </c>
      <c r="C72" s="19" t="s">
        <v>325</v>
      </c>
      <c r="D72" s="47" t="s">
        <v>286</v>
      </c>
      <c r="E72" s="39">
        <v>0.44027777777777777</v>
      </c>
      <c r="F72" s="39">
        <f>E72+14/24</f>
        <v>1.0236111111111112</v>
      </c>
    </row>
    <row r="73" spans="1:6" ht="12.75">
      <c r="A73" s="17">
        <f>A58-A50</f>
        <v>94</v>
      </c>
      <c r="B73" s="17">
        <f>B50</f>
        <v>110.33760000000001</v>
      </c>
      <c r="C73" s="19" t="s">
        <v>257</v>
      </c>
      <c r="D73" s="47"/>
      <c r="E73" s="39">
        <v>0.4486111111111111</v>
      </c>
      <c r="F73" s="39">
        <f>E73+14/24</f>
        <v>1.0319444444444446</v>
      </c>
    </row>
    <row r="74" spans="1:6" ht="12.75">
      <c r="A74" s="17">
        <f>A58-A49</f>
        <v>111</v>
      </c>
      <c r="B74" s="17">
        <f>B49</f>
        <v>131.9784</v>
      </c>
      <c r="C74" t="s">
        <v>324</v>
      </c>
      <c r="D74" s="47" t="s">
        <v>286</v>
      </c>
      <c r="E74" s="39">
        <v>0.46111111111111114</v>
      </c>
      <c r="F74" s="39">
        <f>E74+14/24</f>
        <v>1.0444444444444445</v>
      </c>
    </row>
    <row r="75" spans="1:6" ht="12.75">
      <c r="A75" s="17">
        <f>A58-A48</f>
        <v>125</v>
      </c>
      <c r="B75" s="17">
        <f>B48</f>
        <v>163.6776</v>
      </c>
      <c r="C75" t="s">
        <v>323</v>
      </c>
      <c r="D75" s="47"/>
      <c r="E75" s="39">
        <v>0.4708333333333333</v>
      </c>
      <c r="F75" s="39">
        <f>E75+14/24</f>
        <v>1.0541666666666667</v>
      </c>
    </row>
    <row r="76" spans="1:6" ht="12.75">
      <c r="A76" s="17">
        <f>A58-A47</f>
        <v>144</v>
      </c>
      <c r="B76" s="17">
        <f>B47</f>
        <v>246.888</v>
      </c>
      <c r="C76" t="s">
        <v>322</v>
      </c>
      <c r="D76" s="47" t="s">
        <v>286</v>
      </c>
      <c r="E76" s="39">
        <v>0.48541666666666666</v>
      </c>
      <c r="F76" s="39">
        <f>E76+14/24</f>
        <v>1.06875</v>
      </c>
    </row>
    <row r="77" spans="1:6" ht="12.75">
      <c r="A77" s="17">
        <f>A58-A46</f>
        <v>160</v>
      </c>
      <c r="B77" s="17">
        <f>B46</f>
        <v>306.6288</v>
      </c>
      <c r="C77" t="s">
        <v>321</v>
      </c>
      <c r="D77" s="47" t="s">
        <v>286</v>
      </c>
      <c r="E77" s="39">
        <v>0.4965277777777778</v>
      </c>
      <c r="F77" s="39">
        <f>E77+14/24</f>
        <v>1.0798611111111112</v>
      </c>
    </row>
    <row r="78" spans="1:6" ht="12.75">
      <c r="A78" s="17">
        <f>A58-A45</f>
        <v>172</v>
      </c>
      <c r="B78" s="17">
        <f>B45</f>
        <v>358.44480000000004</v>
      </c>
      <c r="C78" t="s">
        <v>320</v>
      </c>
      <c r="D78" s="47" t="s">
        <v>286</v>
      </c>
      <c r="E78" s="39">
        <v>0.5055555555555555</v>
      </c>
      <c r="F78" s="39">
        <f>E78+14/24</f>
        <v>1.088888888888889</v>
      </c>
    </row>
    <row r="79" spans="1:6" ht="12.75">
      <c r="A79" s="17">
        <f>A58-A44</f>
        <v>180</v>
      </c>
      <c r="B79" s="17">
        <f>B44</f>
        <v>416.9664</v>
      </c>
      <c r="C79" s="19" t="s">
        <v>256</v>
      </c>
      <c r="D79" s="19" t="s">
        <v>246</v>
      </c>
      <c r="E79" s="39">
        <v>0.5125</v>
      </c>
      <c r="F79" s="39">
        <f>E79+14/24</f>
        <v>1.0958333333333332</v>
      </c>
    </row>
    <row r="80" spans="1:6" ht="12.75">
      <c r="A80" s="17">
        <f>A58-A43</f>
        <v>180</v>
      </c>
      <c r="B80" s="17">
        <f>B43</f>
        <v>416.9664</v>
      </c>
      <c r="C80" s="19" t="s">
        <v>256</v>
      </c>
      <c r="D80" s="19" t="s">
        <v>241</v>
      </c>
      <c r="E80" s="39">
        <v>0.5173611111111112</v>
      </c>
      <c r="F80" s="39">
        <f>E80+14/24</f>
        <v>1.1006944444444446</v>
      </c>
    </row>
    <row r="81" spans="1:6" ht="12.75">
      <c r="A81" s="17">
        <f>A58-A42</f>
        <v>185</v>
      </c>
      <c r="B81" s="17">
        <f>B42</f>
        <v>436.47360000000003</v>
      </c>
      <c r="C81" t="s">
        <v>319</v>
      </c>
      <c r="D81" s="47" t="s">
        <v>286</v>
      </c>
      <c r="E81" s="39">
        <v>0.5236111111111111</v>
      </c>
      <c r="F81" s="39">
        <f>E81+14/24</f>
        <v>1.1069444444444445</v>
      </c>
    </row>
    <row r="82" spans="1:6" ht="12.75">
      <c r="A82" s="17">
        <f>A58-A41</f>
        <v>197</v>
      </c>
      <c r="B82" s="17">
        <f>B41</f>
        <v>527.9136</v>
      </c>
      <c r="C82" s="39" t="s">
        <v>255</v>
      </c>
      <c r="D82" s="47"/>
      <c r="E82" s="39">
        <v>0.5444444444444444</v>
      </c>
      <c r="F82" s="39">
        <f>E82+14/24</f>
        <v>1.1277777777777778</v>
      </c>
    </row>
    <row r="83" spans="1:6" ht="12.75">
      <c r="A83" s="17">
        <f>A58-A40</f>
        <v>204</v>
      </c>
      <c r="B83" s="17">
        <f>B40</f>
        <v>576.072</v>
      </c>
      <c r="C83" t="s">
        <v>318</v>
      </c>
      <c r="D83" s="47" t="s">
        <v>286</v>
      </c>
      <c r="E83" s="39">
        <v>0.5513888888888889</v>
      </c>
      <c r="F83" s="39">
        <f>E83+14/24</f>
        <v>1.1347222222222224</v>
      </c>
    </row>
    <row r="84" spans="1:6" ht="12.75">
      <c r="A84" s="17">
        <f>A58-A39</f>
        <v>219</v>
      </c>
      <c r="B84" s="17">
        <f>B39</f>
        <v>596.4936</v>
      </c>
      <c r="C84" t="s">
        <v>317</v>
      </c>
      <c r="D84" s="47" t="s">
        <v>286</v>
      </c>
      <c r="E84" s="39">
        <v>0.5645833333333333</v>
      </c>
      <c r="F84" s="39">
        <f>E84+14/24</f>
        <v>1.1479166666666667</v>
      </c>
    </row>
    <row r="85" spans="1:6" ht="12.75">
      <c r="A85" s="17">
        <f>A58-A38</f>
        <v>231</v>
      </c>
      <c r="B85" s="17">
        <f>B38</f>
        <v>626.6688</v>
      </c>
      <c r="C85" s="19" t="s">
        <v>316</v>
      </c>
      <c r="D85" s="47" t="s">
        <v>286</v>
      </c>
      <c r="E85" s="39">
        <v>0.5756944444444444</v>
      </c>
      <c r="F85" s="39">
        <f>E85+14/24</f>
        <v>1.1590277777777778</v>
      </c>
    </row>
    <row r="86" spans="1:6" ht="12.75">
      <c r="A86" s="17">
        <f>A58-A37</f>
        <v>243</v>
      </c>
      <c r="B86" s="17">
        <f>B37</f>
        <v>674.2176000000001</v>
      </c>
      <c r="C86" t="s">
        <v>254</v>
      </c>
      <c r="D86" s="47"/>
      <c r="E86" s="39">
        <v>0.5854166666666667</v>
      </c>
      <c r="F86" s="39">
        <f>E86+14/24</f>
        <v>1.1687500000000002</v>
      </c>
    </row>
    <row r="87" spans="1:6" ht="12.75">
      <c r="A87" s="17">
        <f>A58-A36</f>
        <v>254</v>
      </c>
      <c r="B87" s="17">
        <f>B36</f>
        <v>712.3176000000001</v>
      </c>
      <c r="C87" t="s">
        <v>125</v>
      </c>
      <c r="D87" s="47"/>
      <c r="E87" s="39">
        <v>0.5944444444444444</v>
      </c>
      <c r="F87" s="39">
        <f>E87+14/24</f>
        <v>1.1777777777777778</v>
      </c>
    </row>
    <row r="88" spans="1:6" ht="12.75">
      <c r="A88" s="17">
        <f>A58-A35</f>
        <v>267</v>
      </c>
      <c r="B88" s="17">
        <f>B35</f>
        <v>648.3096</v>
      </c>
      <c r="C88" t="s">
        <v>253</v>
      </c>
      <c r="D88" s="47" t="s">
        <v>286</v>
      </c>
      <c r="E88" s="39">
        <v>0.6034722222222222</v>
      </c>
      <c r="F88" s="39">
        <f>E88+14/24</f>
        <v>1.1868055555555554</v>
      </c>
    </row>
    <row r="89" spans="1:6" ht="12.75">
      <c r="A89" s="17">
        <f>A58-A34</f>
        <v>279</v>
      </c>
      <c r="B89" s="17">
        <f>B34</f>
        <v>595.5792</v>
      </c>
      <c r="C89" t="s">
        <v>315</v>
      </c>
      <c r="D89" s="47" t="s">
        <v>286</v>
      </c>
      <c r="E89" s="39">
        <v>0.6111111111111112</v>
      </c>
      <c r="F89" s="39">
        <f>E89+14/24</f>
        <v>1.1944444444444446</v>
      </c>
    </row>
    <row r="90" spans="1:6" ht="12.75">
      <c r="A90" s="17">
        <f>A58-A33</f>
        <v>292</v>
      </c>
      <c r="B90" s="17">
        <f>B33</f>
        <v>443.78880000000004</v>
      </c>
      <c r="C90" t="s">
        <v>314</v>
      </c>
      <c r="D90" s="47" t="s">
        <v>286</v>
      </c>
      <c r="E90" s="39">
        <v>0.6215277777777778</v>
      </c>
      <c r="F90" s="39">
        <f>E90+14/24</f>
        <v>1.2048611111111112</v>
      </c>
    </row>
    <row r="91" spans="1:6" ht="12.75">
      <c r="A91" s="17">
        <f>A58-A32</f>
        <v>304</v>
      </c>
      <c r="B91" s="17">
        <f>B32</f>
        <v>514.5024000000001</v>
      </c>
      <c r="C91" s="19" t="s">
        <v>252</v>
      </c>
      <c r="D91" s="47" t="s">
        <v>286</v>
      </c>
      <c r="E91" s="39">
        <v>0.6333333333333333</v>
      </c>
      <c r="F91" s="39">
        <f>E91+14/24</f>
        <v>1.2166666666666668</v>
      </c>
    </row>
    <row r="92" spans="1:6" ht="12.75">
      <c r="A92" s="17">
        <f>A58-A31</f>
        <v>316</v>
      </c>
      <c r="B92" s="17">
        <f>B31</f>
        <v>390.144</v>
      </c>
      <c r="C92" s="19" t="s">
        <v>313</v>
      </c>
      <c r="D92" s="47" t="s">
        <v>286</v>
      </c>
      <c r="E92" s="39">
        <v>0.64375</v>
      </c>
      <c r="F92" s="39">
        <f>E92+14/24</f>
        <v>1.2270833333333333</v>
      </c>
    </row>
    <row r="93" spans="1:6" ht="12.75">
      <c r="A93" s="17">
        <f>A58-A30</f>
        <v>325</v>
      </c>
      <c r="B93" s="17">
        <f>B30</f>
        <v>267.9192</v>
      </c>
      <c r="C93" s="19" t="s">
        <v>312</v>
      </c>
      <c r="D93" s="47" t="s">
        <v>286</v>
      </c>
      <c r="E93" s="39">
        <v>0.6513888888888889</v>
      </c>
      <c r="F93" s="39">
        <f>E93+14/24</f>
        <v>1.2347222222222223</v>
      </c>
    </row>
    <row r="94" spans="1:6" ht="12.75">
      <c r="A94" s="17">
        <f>A58-A29</f>
        <v>333</v>
      </c>
      <c r="B94" s="17">
        <f>B29</f>
        <v>222.80880000000002</v>
      </c>
      <c r="C94" s="19" t="s">
        <v>311</v>
      </c>
      <c r="D94" s="47" t="s">
        <v>286</v>
      </c>
      <c r="E94" s="39">
        <v>0.6583333333333333</v>
      </c>
      <c r="F94" s="39">
        <f>E94+14/24</f>
        <v>1.2416666666666667</v>
      </c>
    </row>
    <row r="95" spans="1:6" ht="12.75">
      <c r="A95" s="17">
        <f>A58-A28</f>
        <v>342</v>
      </c>
      <c r="B95" s="17">
        <f>B28</f>
        <v>189.2808</v>
      </c>
      <c r="C95" s="19" t="s">
        <v>310</v>
      </c>
      <c r="D95" s="47" t="s">
        <v>286</v>
      </c>
      <c r="E95" s="39">
        <v>0.6666666666666666</v>
      </c>
      <c r="F95" s="39">
        <f>E95+14/24</f>
        <v>1.25</v>
      </c>
    </row>
    <row r="96" spans="1:6" ht="12.75">
      <c r="A96" s="17">
        <f>A58-A27</f>
        <v>357</v>
      </c>
      <c r="B96" s="17">
        <f>B27</f>
        <v>166.4208</v>
      </c>
      <c r="C96" s="19" t="s">
        <v>250</v>
      </c>
      <c r="D96" s="47" t="s">
        <v>286</v>
      </c>
      <c r="E96" s="39">
        <v>0.6826388888888889</v>
      </c>
      <c r="F96" s="39">
        <f>E96+14/24</f>
        <v>1.2659722222222223</v>
      </c>
    </row>
    <row r="97" spans="1:6" ht="12.75">
      <c r="A97" s="17">
        <f>A58-A26</f>
        <v>377</v>
      </c>
      <c r="B97" s="17">
        <f>B26</f>
        <v>140.5128</v>
      </c>
      <c r="C97" s="19" t="s">
        <v>309</v>
      </c>
      <c r="D97" s="47" t="s">
        <v>286</v>
      </c>
      <c r="E97" s="39">
        <v>0.6972222222222222</v>
      </c>
      <c r="F97" s="39">
        <f>E97+14/24</f>
        <v>1.2805555555555554</v>
      </c>
    </row>
    <row r="98" spans="1:6" ht="12.75">
      <c r="A98" s="17">
        <f>A58-A25</f>
        <v>392</v>
      </c>
      <c r="B98" s="17">
        <f>B25</f>
        <v>107.89920000000001</v>
      </c>
      <c r="C98" s="19" t="s">
        <v>249</v>
      </c>
      <c r="D98" s="19"/>
      <c r="E98" s="39">
        <v>0.7090277777777778</v>
      </c>
      <c r="F98" s="39">
        <f>E98+14/24</f>
        <v>1.292361111111111</v>
      </c>
    </row>
    <row r="99" spans="1:6" ht="12.75">
      <c r="A99" s="17">
        <f>A58-A24</f>
        <v>401</v>
      </c>
      <c r="B99" s="17">
        <f>B24</f>
        <v>94.488</v>
      </c>
      <c r="C99" t="s">
        <v>308</v>
      </c>
      <c r="D99" s="47" t="s">
        <v>286</v>
      </c>
      <c r="E99" s="60" t="s">
        <v>286</v>
      </c>
      <c r="F99" s="60" t="s">
        <v>286</v>
      </c>
    </row>
    <row r="100" spans="1:6" ht="12.75">
      <c r="A100" s="17">
        <f>A58-A23</f>
        <v>410</v>
      </c>
      <c r="B100" s="17">
        <f>B23</f>
        <v>99.9744</v>
      </c>
      <c r="C100" t="s">
        <v>307</v>
      </c>
      <c r="D100" s="47" t="s">
        <v>286</v>
      </c>
      <c r="E100" s="39">
        <v>0.7229166666666667</v>
      </c>
      <c r="F100" s="39">
        <f>E100+14/24</f>
        <v>1.30625</v>
      </c>
    </row>
    <row r="101" spans="1:6" ht="12.75">
      <c r="A101" s="17">
        <f>A58-A22</f>
        <v>417</v>
      </c>
      <c r="B101" s="17">
        <f>B22</f>
        <v>79.248</v>
      </c>
      <c r="C101" t="s">
        <v>306</v>
      </c>
      <c r="D101" s="47" t="s">
        <v>286</v>
      </c>
      <c r="E101" s="60" t="s">
        <v>286</v>
      </c>
      <c r="F101" s="60" t="s">
        <v>286</v>
      </c>
    </row>
    <row r="102" spans="1:10" ht="12.75">
      <c r="A102" s="17">
        <f>A58-A21</f>
        <v>420</v>
      </c>
      <c r="B102" s="17">
        <f>B21</f>
        <v>85.95360000000001</v>
      </c>
      <c r="C102" t="s">
        <v>305</v>
      </c>
      <c r="D102" s="47" t="s">
        <v>286</v>
      </c>
      <c r="E102" s="39">
        <v>0.7305555555555555</v>
      </c>
      <c r="F102" s="39">
        <f>E102+14/24</f>
        <v>1.3138888888888889</v>
      </c>
      <c r="G102" s="32"/>
      <c r="I102" s="19"/>
      <c r="J102" s="19"/>
    </row>
    <row r="103" spans="1:10" ht="12.75">
      <c r="A103" s="17">
        <f>A58-A20</f>
        <v>423</v>
      </c>
      <c r="B103" s="17">
        <f>B20</f>
        <v>73.152</v>
      </c>
      <c r="C103" t="s">
        <v>304</v>
      </c>
      <c r="D103" s="47" t="s">
        <v>286</v>
      </c>
      <c r="E103" s="60" t="s">
        <v>286</v>
      </c>
      <c r="F103" s="60" t="s">
        <v>286</v>
      </c>
      <c r="G103" s="32"/>
      <c r="I103" s="19"/>
      <c r="J103" s="19"/>
    </row>
    <row r="104" spans="1:10" ht="12.75">
      <c r="A104" s="17">
        <f>A58-A19</f>
        <v>431</v>
      </c>
      <c r="B104" s="17">
        <f>B19</f>
        <v>74.9808</v>
      </c>
      <c r="C104" t="s">
        <v>303</v>
      </c>
      <c r="D104" s="47" t="s">
        <v>286</v>
      </c>
      <c r="E104" s="39">
        <v>0.7395833333333334</v>
      </c>
      <c r="F104" s="39">
        <f>E104+14/24</f>
        <v>1.3229166666666667</v>
      </c>
      <c r="G104" s="32"/>
      <c r="I104" s="19"/>
      <c r="J104" s="19"/>
    </row>
    <row r="105" spans="1:10" ht="12.75">
      <c r="A105" s="17">
        <f>A58-A18</f>
        <v>445</v>
      </c>
      <c r="B105" s="17">
        <f>B18</f>
        <v>71.9328</v>
      </c>
      <c r="C105" t="s">
        <v>302</v>
      </c>
      <c r="D105" s="47" t="s">
        <v>286</v>
      </c>
      <c r="E105" s="39">
        <v>0.75</v>
      </c>
      <c r="F105" s="39">
        <f>E105+14/24</f>
        <v>1.3333333333333335</v>
      </c>
      <c r="G105" s="32"/>
      <c r="I105" s="39"/>
      <c r="J105" s="19"/>
    </row>
    <row r="106" spans="1:11" ht="12.75">
      <c r="A106" s="17">
        <f>A58-A17</f>
        <v>450</v>
      </c>
      <c r="B106" s="17">
        <f>B17</f>
        <v>53.34</v>
      </c>
      <c r="C106" t="s">
        <v>301</v>
      </c>
      <c r="D106" s="47" t="s">
        <v>286</v>
      </c>
      <c r="E106" s="39">
        <v>0.7534722222222222</v>
      </c>
      <c r="F106" s="39">
        <f>E106+14/24</f>
        <v>1.3368055555555556</v>
      </c>
      <c r="G106" s="32"/>
      <c r="J106" s="19"/>
      <c r="K106" s="39"/>
    </row>
    <row r="107" spans="1:11" ht="12.75">
      <c r="A107" s="17">
        <f>A58-A16</f>
        <v>458</v>
      </c>
      <c r="B107" s="17">
        <f>B16</f>
        <v>70.7136</v>
      </c>
      <c r="C107" t="s">
        <v>300</v>
      </c>
      <c r="D107" s="47"/>
      <c r="E107" s="39">
        <v>0.7604166666666666</v>
      </c>
      <c r="F107" s="39">
        <f>E107+14/24</f>
        <v>1.34375</v>
      </c>
      <c r="G107" s="32"/>
      <c r="I107" s="19"/>
      <c r="J107" s="47"/>
      <c r="K107" s="39"/>
    </row>
    <row r="108" spans="1:11" ht="12.75">
      <c r="A108" s="17">
        <f>A58-A15</f>
        <v>466</v>
      </c>
      <c r="B108" s="17">
        <f>B15</f>
        <v>71.9328</v>
      </c>
      <c r="C108" t="s">
        <v>299</v>
      </c>
      <c r="D108" s="47" t="s">
        <v>286</v>
      </c>
      <c r="E108" s="39">
        <v>0.7652777777777777</v>
      </c>
      <c r="F108" s="39">
        <f>E108+14/24</f>
        <v>1.348611111111111</v>
      </c>
      <c r="G108" s="32"/>
      <c r="I108" s="19"/>
      <c r="J108" s="47"/>
      <c r="K108" s="39"/>
    </row>
    <row r="109" spans="1:11" ht="12.75">
      <c r="A109" s="17">
        <f>A58-A14</f>
        <v>475</v>
      </c>
      <c r="B109" s="17">
        <f>B14</f>
        <v>74.9808</v>
      </c>
      <c r="C109" t="s">
        <v>298</v>
      </c>
      <c r="D109" s="47" t="s">
        <v>286</v>
      </c>
      <c r="E109" s="39">
        <v>0.7743055555555556</v>
      </c>
      <c r="F109" s="39">
        <f>E109+14/24</f>
        <v>1.3576388888888888</v>
      </c>
      <c r="G109" s="34"/>
      <c r="J109" s="47"/>
      <c r="K109" s="39"/>
    </row>
    <row r="110" spans="1:11" ht="12.75">
      <c r="A110" s="17">
        <f>A58-A13</f>
        <v>489</v>
      </c>
      <c r="B110" s="17">
        <f>B13</f>
        <v>91.44</v>
      </c>
      <c r="C110" s="19" t="s">
        <v>297</v>
      </c>
      <c r="D110" s="47" t="s">
        <v>286</v>
      </c>
      <c r="E110" s="39">
        <v>0.7840277777777778</v>
      </c>
      <c r="F110" s="39">
        <f>E110+14/24</f>
        <v>1.3673611111111112</v>
      </c>
      <c r="G110" s="32"/>
      <c r="I110" s="19"/>
      <c r="J110" s="47"/>
      <c r="K110" s="39"/>
    </row>
    <row r="111" spans="1:11" ht="12.75">
      <c r="A111" s="17">
        <f>A58-A12</f>
        <v>500</v>
      </c>
      <c r="B111" s="17">
        <f>B12</f>
        <v>103.3272</v>
      </c>
      <c r="C111" s="19" t="s">
        <v>248</v>
      </c>
      <c r="D111" s="47"/>
      <c r="E111" s="39">
        <v>0.7916666666666666</v>
      </c>
      <c r="F111" s="39">
        <f>E111+14/24</f>
        <v>1.375</v>
      </c>
      <c r="G111" s="32"/>
      <c r="I111" s="19"/>
      <c r="J111" s="47"/>
      <c r="K111" s="39"/>
    </row>
    <row r="112" spans="1:11" ht="12.75">
      <c r="A112" s="17">
        <f>A58-A11</f>
        <v>514</v>
      </c>
      <c r="B112" s="17">
        <f>B11</f>
        <v>10.972800000000001</v>
      </c>
      <c r="C112" s="19" t="s">
        <v>247</v>
      </c>
      <c r="D112" s="47"/>
      <c r="E112" s="39">
        <v>0.8055555555555556</v>
      </c>
      <c r="F112" s="39">
        <f>E112+14/24</f>
        <v>1.3888888888888888</v>
      </c>
      <c r="G112" s="32"/>
      <c r="I112" s="19"/>
      <c r="J112" s="47"/>
      <c r="K112" s="39"/>
    </row>
    <row r="113" spans="1:11" ht="12.75">
      <c r="A113" s="17">
        <f>A58-A10</f>
        <v>530</v>
      </c>
      <c r="B113" s="17">
        <f>B10</f>
        <v>15.24</v>
      </c>
      <c r="C113" s="19" t="s">
        <v>296</v>
      </c>
      <c r="D113" s="47" t="s">
        <v>286</v>
      </c>
      <c r="E113" s="39">
        <v>0.81875</v>
      </c>
      <c r="F113" s="39">
        <f>E113+14/24</f>
        <v>1.4020833333333333</v>
      </c>
      <c r="G113" s="34"/>
      <c r="J113" s="47"/>
      <c r="K113" s="39"/>
    </row>
    <row r="114" spans="1:10" ht="12.75">
      <c r="A114" s="17">
        <f>A58-A9</f>
        <v>538</v>
      </c>
      <c r="B114" s="17">
        <f>B9</f>
        <v>28.041600000000003</v>
      </c>
      <c r="C114" s="19" t="s">
        <v>295</v>
      </c>
      <c r="D114" s="47" t="s">
        <v>286</v>
      </c>
      <c r="E114" s="39">
        <v>0.8256944444444444</v>
      </c>
      <c r="F114" s="39">
        <f>E114+14/24</f>
        <v>1.4090277777777778</v>
      </c>
      <c r="G114" s="32"/>
      <c r="I114" s="19"/>
      <c r="J114" s="47"/>
    </row>
    <row r="115" spans="1:11" ht="12.75">
      <c r="A115" s="17">
        <f>A58-A8</f>
        <v>553</v>
      </c>
      <c r="B115" s="17">
        <f>B8</f>
        <v>60.0456</v>
      </c>
      <c r="C115" s="19" t="s">
        <v>294</v>
      </c>
      <c r="D115" s="47" t="s">
        <v>286</v>
      </c>
      <c r="E115" s="39">
        <v>0.8402777777777778</v>
      </c>
      <c r="F115" s="39">
        <f>E115+14/24</f>
        <v>1.4236111111111112</v>
      </c>
      <c r="G115" s="32"/>
      <c r="I115" s="19"/>
      <c r="J115" s="47"/>
      <c r="K115" s="39"/>
    </row>
    <row r="116" spans="1:11" ht="12.75">
      <c r="A116" s="17">
        <f>A58-A7</f>
        <v>565</v>
      </c>
      <c r="B116" s="17">
        <f>B7</f>
        <v>67.6656</v>
      </c>
      <c r="C116" s="19" t="s">
        <v>293</v>
      </c>
      <c r="D116" s="47" t="s">
        <v>286</v>
      </c>
      <c r="E116" s="39">
        <v>0.8520833333333333</v>
      </c>
      <c r="F116" s="39">
        <f>E116+14/24</f>
        <v>1.4354166666666668</v>
      </c>
      <c r="G116" s="32"/>
      <c r="I116" s="19"/>
      <c r="J116" s="19"/>
      <c r="K116" s="39"/>
    </row>
    <row r="117" spans="1:11" ht="12.75">
      <c r="A117" s="17">
        <f>A58-A6</f>
        <v>569</v>
      </c>
      <c r="B117" s="17">
        <f>B6</f>
        <v>12.192</v>
      </c>
      <c r="C117" s="19" t="s">
        <v>292</v>
      </c>
      <c r="D117" s="47" t="s">
        <v>286</v>
      </c>
      <c r="E117" s="39">
        <v>0.8555555555555555</v>
      </c>
      <c r="F117" s="39">
        <f>E117+14/24</f>
        <v>1.4388888888888889</v>
      </c>
      <c r="G117" s="32"/>
      <c r="I117" s="19"/>
      <c r="J117" s="19"/>
      <c r="K117" s="39"/>
    </row>
    <row r="118" spans="1:11" ht="12.75">
      <c r="A118" s="17">
        <f>A58-A5</f>
        <v>573</v>
      </c>
      <c r="B118" s="17">
        <f>B5</f>
        <v>11.5824</v>
      </c>
      <c r="C118" s="19" t="s">
        <v>245</v>
      </c>
      <c r="D118" s="19" t="s">
        <v>246</v>
      </c>
      <c r="E118" s="39">
        <v>0.8645833333333334</v>
      </c>
      <c r="F118" s="39">
        <f>E118+14/24</f>
        <v>1.4479166666666667</v>
      </c>
      <c r="G118" s="32"/>
      <c r="J118" s="39"/>
      <c r="K118" s="39"/>
    </row>
    <row r="119" spans="3:11" ht="12.75">
      <c r="C119" s="19" t="s">
        <v>290</v>
      </c>
      <c r="D119" s="19"/>
      <c r="G119" s="18"/>
      <c r="I119" s="19"/>
      <c r="K119" s="39"/>
    </row>
    <row r="120" spans="3:10" ht="12.75">
      <c r="C120" t="s">
        <v>259</v>
      </c>
      <c r="G120" s="32"/>
      <c r="I120" s="19"/>
      <c r="J120" s="19"/>
    </row>
    <row r="122" spans="1:9" ht="12.75">
      <c r="A122" s="50" t="s">
        <v>2</v>
      </c>
      <c r="B122" s="36" t="s">
        <v>222</v>
      </c>
      <c r="C122" s="42" t="s">
        <v>237</v>
      </c>
      <c r="D122" s="19"/>
      <c r="E122" s="36" t="s">
        <v>283</v>
      </c>
      <c r="F122" s="39"/>
      <c r="G122" s="39"/>
      <c r="H122" s="39"/>
      <c r="I122" s="39"/>
    </row>
    <row r="123" spans="1:9" ht="12.75">
      <c r="A123" s="16"/>
      <c r="C123" s="42" t="s">
        <v>334</v>
      </c>
      <c r="D123" s="19"/>
      <c r="E123" s="36" t="s">
        <v>67</v>
      </c>
      <c r="F123" s="39"/>
      <c r="G123" s="39"/>
      <c r="H123" s="39"/>
      <c r="I123" s="39"/>
    </row>
    <row r="124" spans="1:9" ht="12.75">
      <c r="A124" s="32">
        <v>0</v>
      </c>
      <c r="B124" s="17">
        <f>0.3048*38</f>
        <v>11.5824</v>
      </c>
      <c r="C124" s="19" t="s">
        <v>245</v>
      </c>
      <c r="D124" s="19" t="s">
        <v>241</v>
      </c>
      <c r="E124" t="s">
        <v>343</v>
      </c>
      <c r="F124" s="39"/>
      <c r="G124" s="39"/>
      <c r="H124" s="39"/>
      <c r="I124" s="39"/>
    </row>
    <row r="125" spans="1:9" ht="12.75">
      <c r="A125" s="46">
        <v>41.19</v>
      </c>
      <c r="B125" s="17">
        <f>0.3048*49</f>
        <v>14.9352</v>
      </c>
      <c r="C125" s="61" t="s">
        <v>337</v>
      </c>
      <c r="D125" s="39"/>
      <c r="E125" s="39"/>
      <c r="F125" s="39"/>
      <c r="G125" s="39"/>
      <c r="H125" s="39"/>
      <c r="I125" s="39"/>
    </row>
    <row r="126" spans="1:9" ht="12.75">
      <c r="A126" s="46">
        <v>63.56</v>
      </c>
      <c r="B126" s="17">
        <f>0.3048*40</f>
        <v>12.192</v>
      </c>
      <c r="C126" s="19" t="s">
        <v>244</v>
      </c>
      <c r="E126" s="39"/>
      <c r="F126" s="39"/>
      <c r="G126" s="39"/>
      <c r="H126" s="39"/>
      <c r="I126" s="39"/>
    </row>
    <row r="127" spans="1:5" ht="12.75">
      <c r="A127" s="46">
        <v>80.61</v>
      </c>
      <c r="B127" s="17">
        <f>0.3048*33</f>
        <v>10.0584</v>
      </c>
      <c r="C127" s="19" t="s">
        <v>270</v>
      </c>
      <c r="D127" s="19"/>
      <c r="E127" s="39"/>
    </row>
    <row r="128" spans="1:5" ht="12.75">
      <c r="A128" s="46">
        <v>89.14</v>
      </c>
      <c r="B128" s="17">
        <f>0.3048*96</f>
        <v>29.260800000000003</v>
      </c>
      <c r="C128" s="19" t="s">
        <v>338</v>
      </c>
      <c r="D128" s="19"/>
      <c r="E128" s="39"/>
    </row>
    <row r="129" spans="1:5" ht="12.75">
      <c r="A129" s="46">
        <v>100.56</v>
      </c>
      <c r="B129" s="17">
        <f>0.3048*21</f>
        <v>6.4008</v>
      </c>
      <c r="C129" s="19" t="s">
        <v>281</v>
      </c>
      <c r="D129" s="19" t="s">
        <v>246</v>
      </c>
      <c r="E129" s="39"/>
    </row>
    <row r="130" ht="12.75">
      <c r="C130" t="s">
        <v>339</v>
      </c>
    </row>
    <row r="131" spans="4:6" ht="12.75">
      <c r="D131" s="19"/>
      <c r="F131" s="12"/>
    </row>
    <row r="132" spans="1:5" ht="12.75">
      <c r="A132" s="50" t="s">
        <v>2</v>
      </c>
      <c r="B132" s="36" t="s">
        <v>222</v>
      </c>
      <c r="C132" s="42" t="s">
        <v>223</v>
      </c>
      <c r="D132" s="19"/>
      <c r="E132" s="36" t="s">
        <v>283</v>
      </c>
    </row>
    <row r="133" spans="1:12" ht="12.75">
      <c r="A133" s="16"/>
      <c r="C133" s="42" t="s">
        <v>334</v>
      </c>
      <c r="D133" s="19"/>
      <c r="E133" s="36" t="s">
        <v>67</v>
      </c>
      <c r="L133" s="39"/>
    </row>
    <row r="134" spans="1:12" ht="12.75">
      <c r="A134" s="32">
        <f>A129-A129</f>
        <v>0</v>
      </c>
      <c r="B134" s="17">
        <f>B129</f>
        <v>6.4008</v>
      </c>
      <c r="C134" s="19" t="s">
        <v>281</v>
      </c>
      <c r="D134" s="19" t="s">
        <v>241</v>
      </c>
      <c r="E134" t="s">
        <v>344</v>
      </c>
      <c r="L134" s="40"/>
    </row>
    <row r="135" spans="1:12" ht="12.75">
      <c r="A135" s="32">
        <f>A129-A128</f>
        <v>11.420000000000002</v>
      </c>
      <c r="B135" s="17">
        <f>B128</f>
        <v>29.260800000000003</v>
      </c>
      <c r="C135" s="19" t="s">
        <v>338</v>
      </c>
      <c r="D135" s="19"/>
      <c r="E135" s="39"/>
      <c r="L135" s="40"/>
    </row>
    <row r="136" spans="1:12" ht="12.75">
      <c r="A136" s="32">
        <f>A129-A127</f>
        <v>19.950000000000003</v>
      </c>
      <c r="B136" s="17">
        <f>B127</f>
        <v>10.0584</v>
      </c>
      <c r="C136" s="19" t="s">
        <v>270</v>
      </c>
      <c r="D136" s="19"/>
      <c r="E136" s="39"/>
      <c r="L136" s="37"/>
    </row>
    <row r="137" spans="1:12" ht="12.75">
      <c r="A137" s="32">
        <f>A129-A126</f>
        <v>37</v>
      </c>
      <c r="B137" s="17">
        <f>B126</f>
        <v>12.192</v>
      </c>
      <c r="C137" s="19" t="s">
        <v>244</v>
      </c>
      <c r="D137" s="39"/>
      <c r="E137" s="39"/>
      <c r="L137" s="40"/>
    </row>
    <row r="138" spans="1:12" ht="12.75">
      <c r="A138" s="32">
        <f>A129-A125</f>
        <v>59.370000000000005</v>
      </c>
      <c r="B138" s="17">
        <f>B125</f>
        <v>14.9352</v>
      </c>
      <c r="C138" t="s">
        <v>337</v>
      </c>
      <c r="E138" s="39"/>
      <c r="L138" s="40"/>
    </row>
    <row r="139" spans="1:5" ht="12.75">
      <c r="A139" s="32">
        <f>A129-A124</f>
        <v>100.56</v>
      </c>
      <c r="B139" s="17">
        <f>B124</f>
        <v>11.5824</v>
      </c>
      <c r="C139" s="19" t="s">
        <v>245</v>
      </c>
      <c r="D139" s="19" t="s">
        <v>246</v>
      </c>
      <c r="E139" s="39"/>
    </row>
    <row r="140" ht="12.75">
      <c r="C140" t="s">
        <v>339</v>
      </c>
    </row>
    <row r="143" spans="1:5" ht="12.75">
      <c r="A143" s="3" t="s">
        <v>342</v>
      </c>
      <c r="C143" s="35" t="s">
        <v>221</v>
      </c>
      <c r="E143" s="36"/>
    </row>
    <row r="144" spans="1:3" ht="12.75">
      <c r="A144" s="36" t="s">
        <v>2</v>
      </c>
      <c r="B144" s="36" t="s">
        <v>222</v>
      </c>
      <c r="C144" s="35" t="s">
        <v>223</v>
      </c>
    </row>
    <row r="145" spans="3:12" ht="12.75">
      <c r="C145" s="35" t="s">
        <v>266</v>
      </c>
      <c r="E145" s="38"/>
      <c r="F145" s="38"/>
      <c r="L145" s="36"/>
    </row>
    <row r="146" spans="1:12" ht="12.75">
      <c r="A146" s="18">
        <v>0</v>
      </c>
      <c r="B146" s="18">
        <v>0</v>
      </c>
      <c r="C146" t="s">
        <v>225</v>
      </c>
      <c r="D146" t="s">
        <v>241</v>
      </c>
      <c r="E146" t="s">
        <v>226</v>
      </c>
      <c r="L146" s="36"/>
    </row>
    <row r="147" spans="1:6" ht="12.75">
      <c r="A147" s="18">
        <v>2.73</v>
      </c>
      <c r="B147" s="18">
        <v>0</v>
      </c>
      <c r="C147" t="s">
        <v>227</v>
      </c>
      <c r="E147" s="39"/>
      <c r="F147" s="40"/>
    </row>
    <row r="148" spans="1:12" ht="12.75">
      <c r="A148" s="18">
        <v>31.83</v>
      </c>
      <c r="B148" s="18">
        <f>0.3048*2885</f>
        <v>879.3480000000001</v>
      </c>
      <c r="C148" t="s">
        <v>228</v>
      </c>
      <c r="E148" s="40"/>
      <c r="F148" s="40"/>
      <c r="L148" s="38"/>
    </row>
    <row r="149" spans="1:6" ht="12.75">
      <c r="A149" s="18">
        <v>52.13</v>
      </c>
      <c r="B149" s="18">
        <f>0.3048*2916</f>
        <v>888.7968000000001</v>
      </c>
      <c r="C149" t="s">
        <v>229</v>
      </c>
      <c r="E149" s="40"/>
      <c r="F149" s="40"/>
    </row>
    <row r="150" spans="1:6" ht="12.75">
      <c r="A150" s="18">
        <v>64.33</v>
      </c>
      <c r="B150" s="18">
        <f>0.3048*2158</f>
        <v>657.7584</v>
      </c>
      <c r="C150" t="s">
        <v>230</v>
      </c>
      <c r="E150" s="37"/>
      <c r="F150" s="40"/>
    </row>
    <row r="151" spans="1:6" ht="12.75">
      <c r="A151" s="18">
        <v>107.63</v>
      </c>
      <c r="B151" s="18">
        <f>0.3048*2164</f>
        <v>659.5872</v>
      </c>
      <c r="C151" t="s">
        <v>116</v>
      </c>
      <c r="E151" s="40"/>
      <c r="F151" s="40"/>
    </row>
    <row r="152" spans="1:6" ht="12.75">
      <c r="A152" s="18">
        <v>176.83</v>
      </c>
      <c r="B152" s="18">
        <f>0.3048*2079</f>
        <v>633.6792</v>
      </c>
      <c r="C152" t="s">
        <v>231</v>
      </c>
      <c r="D152" t="s">
        <v>246</v>
      </c>
      <c r="E152" s="40"/>
      <c r="F152" s="40"/>
    </row>
    <row r="153" spans="3:6" ht="12.75">
      <c r="C153" t="s">
        <v>232</v>
      </c>
      <c r="F153" s="12"/>
    </row>
    <row r="154" ht="12.75">
      <c r="C154" t="s">
        <v>233</v>
      </c>
    </row>
    <row r="155" ht="12.75">
      <c r="C155" t="s">
        <v>234</v>
      </c>
    </row>
    <row r="156" ht="12.75">
      <c r="C156" t="s">
        <v>236</v>
      </c>
    </row>
    <row r="157" ht="12.75">
      <c r="C157" t="s">
        <v>235</v>
      </c>
    </row>
    <row r="159" spans="3:5" ht="12.75">
      <c r="C159" s="35" t="s">
        <v>221</v>
      </c>
      <c r="E159" s="36"/>
    </row>
    <row r="160" spans="3:5" ht="12.75">
      <c r="C160" s="35"/>
      <c r="E160" s="36"/>
    </row>
    <row r="161" spans="1:6" ht="12.75">
      <c r="A161" s="36" t="s">
        <v>2</v>
      </c>
      <c r="B161" s="36" t="s">
        <v>222</v>
      </c>
      <c r="C161" s="35" t="s">
        <v>237</v>
      </c>
      <c r="F161" s="12"/>
    </row>
    <row r="162" spans="3:6" ht="12.75">
      <c r="C162" s="35" t="s">
        <v>266</v>
      </c>
      <c r="E162" s="38"/>
      <c r="F162" s="38"/>
    </row>
    <row r="163" spans="1:6" ht="12.75">
      <c r="A163" s="18">
        <f>A152-A152</f>
        <v>0</v>
      </c>
      <c r="B163" s="18">
        <f>0.3048*2079</f>
        <v>633.6792</v>
      </c>
      <c r="C163" t="s">
        <v>231</v>
      </c>
      <c r="D163" t="s">
        <v>241</v>
      </c>
      <c r="E163" t="s">
        <v>238</v>
      </c>
      <c r="F163" s="39"/>
    </row>
    <row r="164" spans="1:6" ht="12.75">
      <c r="A164" s="34">
        <f>A152-A151</f>
        <v>69.20000000000002</v>
      </c>
      <c r="B164" s="18">
        <f>0.3048*2164</f>
        <v>659.5872</v>
      </c>
      <c r="C164" t="s">
        <v>116</v>
      </c>
      <c r="E164" s="40"/>
      <c r="F164" s="39"/>
    </row>
    <row r="165" spans="1:6" ht="12.75">
      <c r="A165" s="34">
        <f>A152-A150</f>
        <v>112.50000000000001</v>
      </c>
      <c r="B165" s="18">
        <f>0.3048*2158</f>
        <v>657.7584</v>
      </c>
      <c r="C165" t="s">
        <v>230</v>
      </c>
      <c r="E165" s="40"/>
      <c r="F165" s="40"/>
    </row>
    <row r="166" spans="1:6" ht="12.75">
      <c r="A166" s="34">
        <f>A152-A149</f>
        <v>124.70000000000002</v>
      </c>
      <c r="B166" s="18">
        <f>0.3048*2916</f>
        <v>888.7968000000001</v>
      </c>
      <c r="C166" t="s">
        <v>229</v>
      </c>
      <c r="E166" s="40"/>
      <c r="F166" s="40"/>
    </row>
    <row r="167" spans="1:6" ht="12.75">
      <c r="A167" s="34">
        <f>A152-A148</f>
        <v>145</v>
      </c>
      <c r="B167" s="18">
        <f>0.3048*2885</f>
        <v>879.3480000000001</v>
      </c>
      <c r="C167" t="s">
        <v>228</v>
      </c>
      <c r="E167" s="40"/>
      <c r="F167" s="40"/>
    </row>
    <row r="168" spans="1:6" ht="12.75">
      <c r="A168" s="34">
        <f>A152-A147</f>
        <v>174.10000000000002</v>
      </c>
      <c r="B168" s="18">
        <v>0</v>
      </c>
      <c r="C168" t="s">
        <v>227</v>
      </c>
      <c r="D168" t="s">
        <v>246</v>
      </c>
      <c r="E168" s="39"/>
      <c r="F168" s="39"/>
    </row>
    <row r="169" spans="1:5" ht="12.75">
      <c r="A169" s="34">
        <f>A152-A146</f>
        <v>176.83</v>
      </c>
      <c r="B169" s="18">
        <v>0</v>
      </c>
      <c r="C169" t="s">
        <v>225</v>
      </c>
      <c r="D169" t="s">
        <v>246</v>
      </c>
      <c r="E169" s="40"/>
    </row>
    <row r="170" spans="3:5" ht="12.75">
      <c r="C170" t="s">
        <v>239</v>
      </c>
      <c r="E170" s="12"/>
    </row>
    <row r="171" ht="12.75">
      <c r="C171" t="s">
        <v>233</v>
      </c>
    </row>
    <row r="172" ht="12.75">
      <c r="C172" t="s">
        <v>234</v>
      </c>
    </row>
    <row r="173" ht="12.75">
      <c r="C173" t="s">
        <v>236</v>
      </c>
    </row>
    <row r="174" ht="12.75">
      <c r="C174" t="s">
        <v>235</v>
      </c>
    </row>
    <row r="177" spans="1:9" ht="12.75">
      <c r="A177" s="16"/>
      <c r="B177" s="16"/>
      <c r="C177" s="16"/>
      <c r="D177" s="16"/>
      <c r="E177" s="16"/>
      <c r="F177" s="16"/>
      <c r="G177" s="16"/>
      <c r="H177" s="16"/>
      <c r="I177" s="1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1.xml><?xml version="1.0" encoding="utf-8"?>
<worksheet xmlns="http://schemas.openxmlformats.org/spreadsheetml/2006/main" xmlns:r="http://schemas.openxmlformats.org/officeDocument/2006/relationships">
  <dimension ref="A1:K75"/>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5" ht="12.75">
      <c r="A1" s="3">
        <v>1974</v>
      </c>
      <c r="C1" s="3" t="s">
        <v>34</v>
      </c>
      <c r="E1" s="41" t="s">
        <v>345</v>
      </c>
    </row>
    <row r="2" spans="1:5" ht="12.75">
      <c r="A2" s="50" t="s">
        <v>2</v>
      </c>
      <c r="B2" s="36" t="s">
        <v>222</v>
      </c>
      <c r="C2" s="42" t="s">
        <v>223</v>
      </c>
      <c r="D2" s="19"/>
      <c r="E2" s="41" t="s">
        <v>57</v>
      </c>
    </row>
    <row r="3" spans="1:5" ht="12.75">
      <c r="A3" s="16"/>
      <c r="C3" s="42" t="s">
        <v>346</v>
      </c>
      <c r="D3" s="19"/>
      <c r="E3">
        <v>6</v>
      </c>
    </row>
    <row r="4" spans="1:5" ht="12.75">
      <c r="A4" s="16"/>
      <c r="C4" s="19"/>
      <c r="D4" s="19"/>
      <c r="E4" s="43" t="s">
        <v>15</v>
      </c>
    </row>
    <row r="5" spans="1:5" ht="12.75">
      <c r="A5">
        <v>0</v>
      </c>
      <c r="B5" s="17">
        <f>0.3048*38</f>
        <v>11.5824</v>
      </c>
      <c r="C5" s="19" t="s">
        <v>245</v>
      </c>
      <c r="D5" s="19" t="s">
        <v>241</v>
      </c>
      <c r="E5" s="39">
        <v>0.375</v>
      </c>
    </row>
    <row r="6" spans="1:5" ht="12.75">
      <c r="A6">
        <v>73</v>
      </c>
      <c r="B6" s="17">
        <f>0.3048*339</f>
        <v>103.3272</v>
      </c>
      <c r="C6" s="19" t="s">
        <v>248</v>
      </c>
      <c r="D6" s="47"/>
      <c r="E6" s="39">
        <v>0.4444444444444444</v>
      </c>
    </row>
    <row r="7" spans="1:5" ht="12.75">
      <c r="A7">
        <v>181</v>
      </c>
      <c r="B7" s="17">
        <f>0.3048*354</f>
        <v>107.89920000000001</v>
      </c>
      <c r="C7" s="19" t="s">
        <v>249</v>
      </c>
      <c r="D7" s="19"/>
      <c r="E7" s="39">
        <v>0.5173611111111112</v>
      </c>
    </row>
    <row r="8" spans="1:5" ht="12.75">
      <c r="A8">
        <v>281</v>
      </c>
      <c r="B8" s="17">
        <f>0.3048*1456</f>
        <v>443.78880000000004</v>
      </c>
      <c r="C8" t="s">
        <v>314</v>
      </c>
      <c r="D8" s="47"/>
      <c r="E8" s="39">
        <v>0.6111111111111112</v>
      </c>
    </row>
    <row r="9" spans="1:5" ht="12.75">
      <c r="A9">
        <v>330</v>
      </c>
      <c r="B9" s="17">
        <f>0.3048*2212</f>
        <v>674.2176000000001</v>
      </c>
      <c r="C9" t="s">
        <v>254</v>
      </c>
      <c r="D9" s="47"/>
      <c r="E9" s="39">
        <v>0.6493055555555556</v>
      </c>
    </row>
    <row r="10" spans="1:5" ht="12.75">
      <c r="A10">
        <v>376</v>
      </c>
      <c r="B10" s="17">
        <f>0.3048*1732</f>
        <v>527.9136</v>
      </c>
      <c r="C10" s="39" t="s">
        <v>255</v>
      </c>
      <c r="D10" s="47"/>
      <c r="E10" s="39">
        <v>0.6923611111111111</v>
      </c>
    </row>
    <row r="11" spans="1:5" ht="12.75">
      <c r="A11">
        <v>479</v>
      </c>
      <c r="B11" s="17">
        <f>0.3048*362</f>
        <v>110.33760000000001</v>
      </c>
      <c r="C11" s="19" t="s">
        <v>257</v>
      </c>
      <c r="D11" s="47"/>
      <c r="E11" s="39">
        <v>0.78125</v>
      </c>
    </row>
    <row r="12" spans="1:5" ht="12.75">
      <c r="A12">
        <v>573</v>
      </c>
      <c r="B12" s="17">
        <f>0.3048*448</f>
        <v>136.5504</v>
      </c>
      <c r="C12" s="19" t="s">
        <v>258</v>
      </c>
      <c r="D12" s="19" t="s">
        <v>246</v>
      </c>
      <c r="E12" s="39">
        <v>0.8541666666666666</v>
      </c>
    </row>
    <row r="13" ht="12.75">
      <c r="C13" s="19" t="s">
        <v>332</v>
      </c>
    </row>
    <row r="14" ht="12.75">
      <c r="E14" s="41" t="s">
        <v>345</v>
      </c>
    </row>
    <row r="15" spans="1:5" ht="12.75">
      <c r="A15" s="50" t="s">
        <v>2</v>
      </c>
      <c r="B15" s="36" t="s">
        <v>222</v>
      </c>
      <c r="C15" s="42" t="s">
        <v>237</v>
      </c>
      <c r="D15" s="19"/>
      <c r="E15" s="41" t="s">
        <v>57</v>
      </c>
    </row>
    <row r="16" spans="1:5" ht="12.75">
      <c r="A16" s="16"/>
      <c r="C16" s="42" t="s">
        <v>346</v>
      </c>
      <c r="D16" s="19"/>
      <c r="E16">
        <v>5</v>
      </c>
    </row>
    <row r="17" spans="1:5" ht="12.75">
      <c r="A17" s="16"/>
      <c r="C17" s="19"/>
      <c r="D17" s="19"/>
      <c r="E17" s="43" t="s">
        <v>15</v>
      </c>
    </row>
    <row r="18" spans="1:5" ht="12.75">
      <c r="A18" s="17">
        <f>A12-A12</f>
        <v>0</v>
      </c>
      <c r="B18" s="17">
        <f>B12-B12</f>
        <v>0</v>
      </c>
      <c r="C18" s="19" t="s">
        <v>258</v>
      </c>
      <c r="D18" s="19" t="s">
        <v>241</v>
      </c>
      <c r="E18" s="39">
        <v>0.375</v>
      </c>
    </row>
    <row r="19" spans="1:5" ht="12.75">
      <c r="A19" s="17">
        <f>A12-A11</f>
        <v>94</v>
      </c>
      <c r="B19" s="17">
        <f>B11</f>
        <v>110.33760000000001</v>
      </c>
      <c r="C19" s="19" t="s">
        <v>257</v>
      </c>
      <c r="D19" s="47"/>
      <c r="E19" s="39">
        <v>0.44583333333333336</v>
      </c>
    </row>
    <row r="20" spans="1:5" ht="12.75">
      <c r="A20" s="17">
        <f>A12-A10</f>
        <v>197</v>
      </c>
      <c r="B20" s="17">
        <f>B10</f>
        <v>527.9136</v>
      </c>
      <c r="C20" s="39" t="s">
        <v>255</v>
      </c>
      <c r="D20" s="47"/>
      <c r="E20" s="39">
        <v>0.5347222222222222</v>
      </c>
    </row>
    <row r="21" spans="1:5" ht="12.75">
      <c r="A21" s="17">
        <f>A12-A9</f>
        <v>243</v>
      </c>
      <c r="B21" s="17">
        <f>B9</f>
        <v>674.2176000000001</v>
      </c>
      <c r="C21" t="s">
        <v>254</v>
      </c>
      <c r="D21" s="47"/>
      <c r="E21" s="39">
        <v>0.5756944444444444</v>
      </c>
    </row>
    <row r="22" spans="1:5" ht="12.75">
      <c r="A22" s="17">
        <f>A12-A8</f>
        <v>292</v>
      </c>
      <c r="B22" s="17">
        <f>B8</f>
        <v>443.78880000000004</v>
      </c>
      <c r="C22" t="s">
        <v>314</v>
      </c>
      <c r="D22" s="47"/>
      <c r="E22" s="39">
        <v>0.6111111111111112</v>
      </c>
    </row>
    <row r="23" spans="1:5" ht="12.75">
      <c r="A23" s="17">
        <f>A12-A7</f>
        <v>392</v>
      </c>
      <c r="B23" s="17">
        <f>B7</f>
        <v>107.89920000000001</v>
      </c>
      <c r="C23" s="19" t="s">
        <v>249</v>
      </c>
      <c r="D23" s="19"/>
      <c r="E23" s="39">
        <v>0.7</v>
      </c>
    </row>
    <row r="24" spans="1:11" ht="12.75">
      <c r="A24" s="17">
        <f>A12-A6</f>
        <v>500</v>
      </c>
      <c r="B24" s="17">
        <f>B6</f>
        <v>103.3272</v>
      </c>
      <c r="C24" s="19" t="s">
        <v>248</v>
      </c>
      <c r="D24" s="47"/>
      <c r="E24" s="39">
        <v>0.7743055555555556</v>
      </c>
      <c r="G24" s="32"/>
      <c r="I24" s="19"/>
      <c r="J24" s="47"/>
      <c r="K24" s="39"/>
    </row>
    <row r="25" spans="1:11" ht="12.75">
      <c r="A25" s="17">
        <f>A12-A5</f>
        <v>573</v>
      </c>
      <c r="B25" s="17">
        <f>B5</f>
        <v>11.5824</v>
      </c>
      <c r="C25" s="19" t="s">
        <v>245</v>
      </c>
      <c r="D25" s="19" t="s">
        <v>246</v>
      </c>
      <c r="E25" s="39">
        <v>0.84375</v>
      </c>
      <c r="G25" s="32"/>
      <c r="J25" s="39"/>
      <c r="K25" s="39"/>
    </row>
    <row r="26" spans="3:10" ht="12.75">
      <c r="C26" s="19" t="s">
        <v>332</v>
      </c>
      <c r="G26" s="32"/>
      <c r="I26" s="19"/>
      <c r="J26" s="19"/>
    </row>
    <row r="28" spans="1:11" ht="12.75">
      <c r="A28" s="50" t="s">
        <v>2</v>
      </c>
      <c r="B28" s="36" t="s">
        <v>222</v>
      </c>
      <c r="C28" s="42" t="s">
        <v>237</v>
      </c>
      <c r="D28" s="19"/>
      <c r="E28" s="57">
        <v>1</v>
      </c>
      <c r="F28" s="57">
        <v>2</v>
      </c>
      <c r="G28" s="57">
        <v>3</v>
      </c>
      <c r="I28" s="57">
        <v>1</v>
      </c>
      <c r="J28" s="57">
        <v>2</v>
      </c>
      <c r="K28" s="57">
        <v>3</v>
      </c>
    </row>
    <row r="29" spans="1:11" ht="12.75">
      <c r="A29" s="16"/>
      <c r="C29" s="42" t="s">
        <v>347</v>
      </c>
      <c r="D29" s="19"/>
      <c r="E29" s="62" t="s">
        <v>348</v>
      </c>
      <c r="F29" s="63" t="s">
        <v>348</v>
      </c>
      <c r="G29" s="63" t="s">
        <v>348</v>
      </c>
      <c r="I29" s="23" t="s">
        <v>32</v>
      </c>
      <c r="J29" s="23" t="s">
        <v>32</v>
      </c>
      <c r="K29" s="23" t="s">
        <v>32</v>
      </c>
    </row>
    <row r="30" spans="1:11" ht="12.75">
      <c r="A30" s="32">
        <v>0</v>
      </c>
      <c r="B30" s="17">
        <f>0.3048*38</f>
        <v>11.5824</v>
      </c>
      <c r="C30" s="19" t="s">
        <v>245</v>
      </c>
      <c r="D30" s="19" t="s">
        <v>241</v>
      </c>
      <c r="E30" s="39">
        <v>0.3888888888888889</v>
      </c>
      <c r="F30" s="39"/>
      <c r="G30" s="39"/>
      <c r="I30" s="39">
        <v>0.4791666666666667</v>
      </c>
      <c r="J30" s="39"/>
      <c r="K30" s="39"/>
    </row>
    <row r="31" spans="1:11" ht="12.75">
      <c r="A31" s="46">
        <v>80.61</v>
      </c>
      <c r="B31" s="17">
        <f>0.3048*33</f>
        <v>10.0584</v>
      </c>
      <c r="C31" s="19" t="s">
        <v>270</v>
      </c>
      <c r="D31" s="19" t="s">
        <v>246</v>
      </c>
      <c r="E31" s="39">
        <v>0.4097222222222222</v>
      </c>
      <c r="F31" s="39"/>
      <c r="G31" s="39"/>
      <c r="I31" s="39">
        <v>0.5416666666666666</v>
      </c>
      <c r="J31" s="39"/>
      <c r="K31" s="39"/>
    </row>
    <row r="32" spans="1:11" ht="12.75">
      <c r="A32" s="46">
        <v>80.61</v>
      </c>
      <c r="B32" s="17">
        <f>0.3048*33</f>
        <v>10.0584</v>
      </c>
      <c r="C32" s="19" t="s">
        <v>270</v>
      </c>
      <c r="D32" s="19" t="s">
        <v>241</v>
      </c>
      <c r="E32" s="39">
        <v>0.46875</v>
      </c>
      <c r="F32" s="39">
        <v>0.5659722222222222</v>
      </c>
      <c r="G32" s="39">
        <v>0.6875</v>
      </c>
      <c r="I32" s="39">
        <f>F32</f>
        <v>0.5659722222222222</v>
      </c>
      <c r="J32" s="39">
        <f>G32</f>
        <v>0.6875</v>
      </c>
      <c r="K32" s="39">
        <v>0.7847222222222222</v>
      </c>
    </row>
    <row r="33" spans="1:11" ht="12.75">
      <c r="A33" s="46">
        <v>100.56</v>
      </c>
      <c r="B33" s="17">
        <f>0.3048*21</f>
        <v>6.4008</v>
      </c>
      <c r="C33" s="19" t="s">
        <v>281</v>
      </c>
      <c r="D33" s="19" t="s">
        <v>246</v>
      </c>
      <c r="E33" s="39">
        <v>0.4930555555555556</v>
      </c>
      <c r="F33" s="39">
        <v>0.5902777777777778</v>
      </c>
      <c r="G33" s="39">
        <v>0.7118055555555556</v>
      </c>
      <c r="I33" s="39">
        <f>F33</f>
        <v>0.5902777777777778</v>
      </c>
      <c r="J33" s="39">
        <f>G33</f>
        <v>0.7118055555555556</v>
      </c>
      <c r="K33" s="39">
        <v>0.8090277777777778</v>
      </c>
    </row>
    <row r="34" spans="1:11" ht="12.75">
      <c r="A34" s="46"/>
      <c r="B34" s="17"/>
      <c r="C34" s="19" t="s">
        <v>349</v>
      </c>
      <c r="D34" s="19"/>
      <c r="E34" s="39"/>
      <c r="F34" s="39"/>
      <c r="G34" s="39"/>
      <c r="I34" s="39"/>
      <c r="J34" s="39"/>
      <c r="K34" s="39"/>
    </row>
    <row r="35" ht="12.75">
      <c r="D35" s="19"/>
    </row>
    <row r="36" spans="1:11" ht="12.75">
      <c r="A36" s="50" t="s">
        <v>2</v>
      </c>
      <c r="B36" s="36" t="s">
        <v>222</v>
      </c>
      <c r="C36" s="42" t="s">
        <v>223</v>
      </c>
      <c r="D36" s="19"/>
      <c r="E36" s="57">
        <v>1</v>
      </c>
      <c r="F36" s="57">
        <v>2</v>
      </c>
      <c r="G36" s="57">
        <v>3</v>
      </c>
      <c r="I36" s="57">
        <v>1</v>
      </c>
      <c r="J36" s="57">
        <v>2</v>
      </c>
      <c r="K36" s="57">
        <v>3</v>
      </c>
    </row>
    <row r="37" spans="1:11" ht="12.75">
      <c r="A37" s="16"/>
      <c r="C37" s="42" t="s">
        <v>347</v>
      </c>
      <c r="D37" s="19"/>
      <c r="E37" s="62" t="s">
        <v>348</v>
      </c>
      <c r="F37" s="63" t="s">
        <v>348</v>
      </c>
      <c r="G37" s="63" t="s">
        <v>348</v>
      </c>
      <c r="I37" s="23" t="s">
        <v>32</v>
      </c>
      <c r="J37" s="23" t="s">
        <v>32</v>
      </c>
      <c r="K37" s="23" t="s">
        <v>32</v>
      </c>
    </row>
    <row r="38" spans="1:11" ht="12.75">
      <c r="A38" s="32">
        <f>A33-A33</f>
        <v>0</v>
      </c>
      <c r="B38" s="17">
        <f>B33</f>
        <v>6.4008</v>
      </c>
      <c r="C38" s="19" t="s">
        <v>281</v>
      </c>
      <c r="D38" s="19" t="s">
        <v>241</v>
      </c>
      <c r="E38" s="39">
        <v>0.5173611111111112</v>
      </c>
      <c r="F38" s="39">
        <v>0.6388888888888888</v>
      </c>
      <c r="G38" s="39">
        <v>0.7361111111111112</v>
      </c>
      <c r="I38" s="39">
        <f>F38</f>
        <v>0.6388888888888888</v>
      </c>
      <c r="J38" s="39">
        <f>G38</f>
        <v>0.7361111111111112</v>
      </c>
      <c r="K38" s="39">
        <v>0.8333333333333334</v>
      </c>
    </row>
    <row r="39" spans="1:11" ht="12.75">
      <c r="A39" s="32">
        <f>A33-A32</f>
        <v>19.950000000000003</v>
      </c>
      <c r="B39" s="17">
        <f>B32</f>
        <v>10.0584</v>
      </c>
      <c r="C39" s="19" t="s">
        <v>270</v>
      </c>
      <c r="D39" s="19" t="s">
        <v>246</v>
      </c>
      <c r="E39" s="39">
        <v>0.5416666666666666</v>
      </c>
      <c r="F39" s="39">
        <v>0.6631944444444444</v>
      </c>
      <c r="G39" s="39">
        <v>0.7604166666666666</v>
      </c>
      <c r="I39" s="39">
        <f>F39</f>
        <v>0.6631944444444444</v>
      </c>
      <c r="J39" s="39">
        <f>G39</f>
        <v>0.7604166666666666</v>
      </c>
      <c r="K39" s="39">
        <v>0.8576388888888888</v>
      </c>
    </row>
    <row r="40" spans="1:11" ht="12.75">
      <c r="A40" s="32">
        <f>A39</f>
        <v>19.950000000000003</v>
      </c>
      <c r="B40" s="48">
        <f>B39</f>
        <v>10.0584</v>
      </c>
      <c r="C40" s="19" t="s">
        <v>270</v>
      </c>
      <c r="D40" s="19" t="s">
        <v>241</v>
      </c>
      <c r="E40" s="39"/>
      <c r="F40" s="39"/>
      <c r="G40" s="39">
        <v>0.7673611111111112</v>
      </c>
      <c r="I40" s="39"/>
      <c r="J40" s="39"/>
      <c r="K40" s="39">
        <v>0.8645833333333334</v>
      </c>
    </row>
    <row r="41" spans="1:11" ht="12.75">
      <c r="A41" s="32">
        <f>A33-A30</f>
        <v>100.56</v>
      </c>
      <c r="B41" s="17">
        <f>B30</f>
        <v>11.5824</v>
      </c>
      <c r="C41" s="19" t="s">
        <v>245</v>
      </c>
      <c r="D41" s="19" t="s">
        <v>246</v>
      </c>
      <c r="E41" s="39"/>
      <c r="F41" s="39"/>
      <c r="G41" s="39">
        <v>0.8298611111111112</v>
      </c>
      <c r="I41" s="39"/>
      <c r="J41" s="39"/>
      <c r="K41" s="39">
        <v>0.9270833333333334</v>
      </c>
    </row>
    <row r="42" ht="12.75">
      <c r="C42" s="19" t="s">
        <v>349</v>
      </c>
    </row>
    <row r="44" spans="1:5" ht="12.75">
      <c r="A44" s="3">
        <v>1974</v>
      </c>
      <c r="C44" s="35" t="s">
        <v>221</v>
      </c>
      <c r="E44" s="36"/>
    </row>
    <row r="45" spans="1:3" ht="12.75">
      <c r="A45" s="36" t="s">
        <v>2</v>
      </c>
      <c r="B45" s="36" t="s">
        <v>222</v>
      </c>
      <c r="C45" s="35" t="s">
        <v>223</v>
      </c>
    </row>
    <row r="46" spans="3:5" ht="12.75">
      <c r="C46" s="35" t="s">
        <v>224</v>
      </c>
      <c r="E46" s="38"/>
    </row>
    <row r="47" spans="1:5" ht="12.75">
      <c r="A47" s="18">
        <v>0</v>
      </c>
      <c r="B47" s="18">
        <v>0</v>
      </c>
      <c r="C47" t="s">
        <v>225</v>
      </c>
      <c r="D47" t="s">
        <v>241</v>
      </c>
      <c r="E47" t="s">
        <v>226</v>
      </c>
    </row>
    <row r="48" spans="1:5" ht="12.75">
      <c r="A48" s="18">
        <v>2.73</v>
      </c>
      <c r="B48" s="18">
        <v>0</v>
      </c>
      <c r="C48" t="s">
        <v>227</v>
      </c>
      <c r="E48" s="39"/>
    </row>
    <row r="49" spans="1:5" ht="12.75">
      <c r="A49" s="18">
        <v>31.83</v>
      </c>
      <c r="B49" s="18">
        <f>0.3048*2885</f>
        <v>879.3480000000001</v>
      </c>
      <c r="C49" t="s">
        <v>228</v>
      </c>
      <c r="E49" s="40"/>
    </row>
    <row r="50" spans="1:5" ht="12.75">
      <c r="A50" s="18">
        <v>52.13</v>
      </c>
      <c r="B50" s="18">
        <f>0.3048*2916</f>
        <v>888.7968000000001</v>
      </c>
      <c r="C50" t="s">
        <v>229</v>
      </c>
      <c r="E50" s="40"/>
    </row>
    <row r="51" spans="1:5" ht="12.75">
      <c r="A51" s="18">
        <v>64.33</v>
      </c>
      <c r="B51" s="18">
        <f>0.3048*2158</f>
        <v>657.7584</v>
      </c>
      <c r="C51" t="s">
        <v>230</v>
      </c>
      <c r="E51" s="37"/>
    </row>
    <row r="52" spans="1:5" ht="12.75">
      <c r="A52" s="18">
        <v>107.63</v>
      </c>
      <c r="B52" s="18">
        <f>0.3048*2164</f>
        <v>659.5872</v>
      </c>
      <c r="C52" t="s">
        <v>116</v>
      </c>
      <c r="E52" s="40"/>
    </row>
    <row r="53" spans="1:5" ht="12.75">
      <c r="A53" s="18">
        <v>176.83</v>
      </c>
      <c r="B53" s="18">
        <f>0.3048*2079</f>
        <v>633.6792</v>
      </c>
      <c r="C53" t="s">
        <v>231</v>
      </c>
      <c r="D53" t="s">
        <v>246</v>
      </c>
      <c r="E53" s="40"/>
    </row>
    <row r="54" ht="12.75">
      <c r="C54" t="s">
        <v>232</v>
      </c>
    </row>
    <row r="55" ht="12.75">
      <c r="C55" t="s">
        <v>233</v>
      </c>
    </row>
    <row r="56" ht="12.75">
      <c r="C56" t="s">
        <v>234</v>
      </c>
    </row>
    <row r="57" ht="12.75">
      <c r="C57" t="s">
        <v>279</v>
      </c>
    </row>
    <row r="58" ht="12.75">
      <c r="C58" t="s">
        <v>235</v>
      </c>
    </row>
    <row r="60" spans="3:5" ht="12.75">
      <c r="C60" s="35" t="s">
        <v>221</v>
      </c>
      <c r="E60" s="36"/>
    </row>
    <row r="61" spans="3:5" ht="12.75">
      <c r="C61" s="35"/>
      <c r="E61" s="36"/>
    </row>
    <row r="62" spans="1:3" ht="12.75">
      <c r="A62" s="36" t="s">
        <v>2</v>
      </c>
      <c r="B62" s="36" t="s">
        <v>222</v>
      </c>
      <c r="C62" s="35" t="s">
        <v>237</v>
      </c>
    </row>
    <row r="63" spans="3:5" ht="12.75">
      <c r="C63" s="35" t="s">
        <v>224</v>
      </c>
      <c r="E63" s="38"/>
    </row>
    <row r="64" spans="1:5" ht="12.75">
      <c r="A64" s="18">
        <f>A53-A53</f>
        <v>0</v>
      </c>
      <c r="B64" s="18">
        <f>0.3048*2079</f>
        <v>633.6792</v>
      </c>
      <c r="C64" t="s">
        <v>231</v>
      </c>
      <c r="D64" t="s">
        <v>241</v>
      </c>
      <c r="E64" t="s">
        <v>238</v>
      </c>
    </row>
    <row r="65" spans="1:5" ht="12.75">
      <c r="A65" s="34">
        <f>A53-A52</f>
        <v>69.20000000000002</v>
      </c>
      <c r="B65" s="18">
        <f>0.3048*2164</f>
        <v>659.5872</v>
      </c>
      <c r="C65" t="s">
        <v>116</v>
      </c>
      <c r="E65" s="40"/>
    </row>
    <row r="66" spans="1:5" ht="12.75">
      <c r="A66" s="34">
        <f>A53-A51</f>
        <v>112.50000000000001</v>
      </c>
      <c r="B66" s="18">
        <f>0.3048*2158</f>
        <v>657.7584</v>
      </c>
      <c r="C66" t="s">
        <v>230</v>
      </c>
      <c r="E66" s="40"/>
    </row>
    <row r="67" spans="1:5" ht="12.75">
      <c r="A67" s="34">
        <f>A53-A50</f>
        <v>124.70000000000002</v>
      </c>
      <c r="B67" s="18">
        <f>0.3048*2916</f>
        <v>888.7968000000001</v>
      </c>
      <c r="C67" t="s">
        <v>229</v>
      </c>
      <c r="E67" s="40"/>
    </row>
    <row r="68" spans="1:5" ht="12.75">
      <c r="A68" s="34">
        <f>A53-A49</f>
        <v>145</v>
      </c>
      <c r="B68" s="18">
        <f>0.3048*2885</f>
        <v>879.3480000000001</v>
      </c>
      <c r="C68" t="s">
        <v>228</v>
      </c>
      <c r="E68" s="40"/>
    </row>
    <row r="69" spans="1:5" ht="12.75">
      <c r="A69" s="34">
        <f>A53-A48</f>
        <v>174.10000000000002</v>
      </c>
      <c r="B69" s="18">
        <v>0</v>
      </c>
      <c r="C69" t="s">
        <v>227</v>
      </c>
      <c r="D69" t="s">
        <v>246</v>
      </c>
      <c r="E69" s="39"/>
    </row>
    <row r="70" spans="1:5" ht="12.75">
      <c r="A70" s="34">
        <f>A53-A47</f>
        <v>176.83</v>
      </c>
      <c r="B70" s="18">
        <v>0</v>
      </c>
      <c r="C70" t="s">
        <v>225</v>
      </c>
      <c r="D70" t="s">
        <v>246</v>
      </c>
      <c r="E70" s="40"/>
    </row>
    <row r="71" spans="3:5" ht="12.75">
      <c r="C71" t="s">
        <v>239</v>
      </c>
      <c r="E71" s="12"/>
    </row>
    <row r="72" ht="12.75">
      <c r="C72" t="s">
        <v>233</v>
      </c>
    </row>
    <row r="73" ht="12.75">
      <c r="C73" t="s">
        <v>234</v>
      </c>
    </row>
    <row r="74" ht="12.75">
      <c r="C74" t="s">
        <v>279</v>
      </c>
    </row>
    <row r="75" ht="12.75">
      <c r="C75"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2.xml><?xml version="1.0" encoding="utf-8"?>
<worksheet xmlns="http://schemas.openxmlformats.org/spreadsheetml/2006/main" xmlns:r="http://schemas.openxmlformats.org/officeDocument/2006/relationships">
  <dimension ref="A1:K161"/>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3" ht="12.75">
      <c r="A1" s="3" t="s">
        <v>72</v>
      </c>
      <c r="C1" s="3" t="s">
        <v>34</v>
      </c>
    </row>
    <row r="2" spans="1:5" ht="12.75">
      <c r="A2" s="50" t="s">
        <v>2</v>
      </c>
      <c r="B2" s="36" t="s">
        <v>222</v>
      </c>
      <c r="C2" s="42" t="s">
        <v>223</v>
      </c>
      <c r="D2" s="19"/>
      <c r="E2" s="41" t="s">
        <v>57</v>
      </c>
    </row>
    <row r="3" spans="1:5" ht="12.75">
      <c r="A3" s="16"/>
      <c r="C3" s="42" t="s">
        <v>350</v>
      </c>
      <c r="D3" s="19"/>
      <c r="E3">
        <v>6</v>
      </c>
    </row>
    <row r="4" spans="1:5" ht="12.75">
      <c r="A4" s="16"/>
      <c r="C4" s="19"/>
      <c r="D4" s="19"/>
      <c r="E4" s="43" t="s">
        <v>351</v>
      </c>
    </row>
    <row r="5" spans="1:5" ht="12.75">
      <c r="A5">
        <v>0</v>
      </c>
      <c r="B5" s="17">
        <f>0.3048*38</f>
        <v>11.5824</v>
      </c>
      <c r="C5" s="19" t="s">
        <v>245</v>
      </c>
      <c r="D5" s="19" t="s">
        <v>241</v>
      </c>
      <c r="E5" s="39">
        <v>0.375</v>
      </c>
    </row>
    <row r="6" spans="1:5" ht="12.75">
      <c r="A6">
        <v>4</v>
      </c>
      <c r="B6" s="17">
        <f>0.3048*40</f>
        <v>12.192</v>
      </c>
      <c r="C6" s="19" t="s">
        <v>292</v>
      </c>
      <c r="D6" s="47" t="s">
        <v>286</v>
      </c>
      <c r="E6" s="39">
        <v>0.38055555555555554</v>
      </c>
    </row>
    <row r="7" spans="1:5" ht="12.75">
      <c r="A7">
        <v>8</v>
      </c>
      <c r="B7" s="17">
        <f>0.3048*222</f>
        <v>67.6656</v>
      </c>
      <c r="C7" s="19" t="s">
        <v>293</v>
      </c>
      <c r="D7" s="47" t="s">
        <v>286</v>
      </c>
      <c r="E7" s="39">
        <v>0.3854166666666667</v>
      </c>
    </row>
    <row r="8" spans="1:5" ht="12.75">
      <c r="A8">
        <v>20</v>
      </c>
      <c r="B8" s="17">
        <f>0.3048*197</f>
        <v>60.0456</v>
      </c>
      <c r="C8" s="19" t="s">
        <v>294</v>
      </c>
      <c r="D8" s="47" t="s">
        <v>286</v>
      </c>
      <c r="E8" s="39">
        <v>0.3958333333333333</v>
      </c>
    </row>
    <row r="9" spans="1:5" ht="12.75">
      <c r="A9">
        <v>35</v>
      </c>
      <c r="B9" s="17">
        <f>0.3048*92</f>
        <v>28.041600000000003</v>
      </c>
      <c r="C9" s="19" t="s">
        <v>295</v>
      </c>
      <c r="D9" s="47" t="s">
        <v>286</v>
      </c>
      <c r="E9" s="39">
        <v>0.4097222222222222</v>
      </c>
    </row>
    <row r="10" spans="1:5" ht="12.75">
      <c r="A10">
        <v>43</v>
      </c>
      <c r="B10" s="17">
        <f>0.3048*50</f>
        <v>15.24</v>
      </c>
      <c r="C10" s="19" t="s">
        <v>296</v>
      </c>
      <c r="D10" s="47" t="s">
        <v>286</v>
      </c>
      <c r="E10" s="39">
        <v>0.4166666666666667</v>
      </c>
    </row>
    <row r="11" spans="1:5" ht="12.75">
      <c r="A11">
        <v>59</v>
      </c>
      <c r="B11" s="17">
        <f>0.3048*36</f>
        <v>10.972800000000001</v>
      </c>
      <c r="C11" s="19" t="s">
        <v>247</v>
      </c>
      <c r="D11" s="47" t="s">
        <v>286</v>
      </c>
      <c r="E11" s="39">
        <v>0.42916666666666664</v>
      </c>
    </row>
    <row r="12" spans="1:5" ht="12.75">
      <c r="A12">
        <v>73</v>
      </c>
      <c r="B12" s="17">
        <f>0.3048*339</f>
        <v>103.3272</v>
      </c>
      <c r="C12" s="19" t="s">
        <v>248</v>
      </c>
      <c r="D12" s="47"/>
      <c r="E12" s="39">
        <v>0.44583333333333336</v>
      </c>
    </row>
    <row r="13" spans="1:5" ht="12.75">
      <c r="A13">
        <v>84</v>
      </c>
      <c r="B13" s="17">
        <f>0.3048*300</f>
        <v>91.44</v>
      </c>
      <c r="C13" s="19" t="s">
        <v>297</v>
      </c>
      <c r="D13" s="47" t="s">
        <v>286</v>
      </c>
      <c r="E13" s="39">
        <v>0.4527777777777778</v>
      </c>
    </row>
    <row r="14" spans="1:5" ht="12.75">
      <c r="A14">
        <v>98</v>
      </c>
      <c r="B14" s="17">
        <f>0.3048*246</f>
        <v>74.9808</v>
      </c>
      <c r="C14" t="s">
        <v>298</v>
      </c>
      <c r="D14" s="47" t="s">
        <v>286</v>
      </c>
      <c r="E14" s="39">
        <v>0.4618055555555556</v>
      </c>
    </row>
    <row r="15" spans="1:5" ht="12.75">
      <c r="A15">
        <v>107</v>
      </c>
      <c r="B15" s="17">
        <f>0.3048*236</f>
        <v>71.9328</v>
      </c>
      <c r="C15" t="s">
        <v>299</v>
      </c>
      <c r="D15" s="47" t="s">
        <v>286</v>
      </c>
      <c r="E15" s="39">
        <v>0.4666666666666667</v>
      </c>
    </row>
    <row r="16" spans="1:5" ht="12.75">
      <c r="A16">
        <v>115</v>
      </c>
      <c r="B16" s="17">
        <f>0.3048*232</f>
        <v>70.7136</v>
      </c>
      <c r="C16" t="s">
        <v>300</v>
      </c>
      <c r="D16" s="47" t="s">
        <v>286</v>
      </c>
      <c r="E16" s="39">
        <v>0.47430555555555554</v>
      </c>
    </row>
    <row r="17" spans="1:5" ht="12.75">
      <c r="A17">
        <v>123</v>
      </c>
      <c r="B17" s="17">
        <f>0.3048*175</f>
        <v>53.34</v>
      </c>
      <c r="C17" t="s">
        <v>301</v>
      </c>
      <c r="D17" s="47" t="s">
        <v>286</v>
      </c>
      <c r="E17" s="39">
        <v>0.4777777777777778</v>
      </c>
    </row>
    <row r="18" spans="1:5" ht="12.75">
      <c r="A18">
        <v>128</v>
      </c>
      <c r="B18" s="17">
        <f>0.3048*236</f>
        <v>71.9328</v>
      </c>
      <c r="C18" t="s">
        <v>302</v>
      </c>
      <c r="D18" s="47" t="s">
        <v>286</v>
      </c>
      <c r="E18" s="39">
        <v>0.48333333333333334</v>
      </c>
    </row>
    <row r="19" spans="1:5" ht="12.75">
      <c r="A19">
        <v>142</v>
      </c>
      <c r="B19" s="17">
        <f>0.3048*246</f>
        <v>74.9808</v>
      </c>
      <c r="C19" t="s">
        <v>303</v>
      </c>
      <c r="D19" s="47" t="s">
        <v>286</v>
      </c>
      <c r="E19" s="39">
        <v>0.49236111111111114</v>
      </c>
    </row>
    <row r="20" spans="1:5" ht="12.75">
      <c r="A20">
        <v>153</v>
      </c>
      <c r="B20" s="17">
        <f>0.3048*282</f>
        <v>85.95360000000001</v>
      </c>
      <c r="C20" t="s">
        <v>305</v>
      </c>
      <c r="D20" s="47" t="s">
        <v>286</v>
      </c>
      <c r="E20" s="39">
        <v>0.5013888888888889</v>
      </c>
    </row>
    <row r="21" spans="1:5" ht="12.75">
      <c r="A21">
        <v>163</v>
      </c>
      <c r="B21" s="17">
        <f>0.3048*328</f>
        <v>99.9744</v>
      </c>
      <c r="C21" t="s">
        <v>307</v>
      </c>
      <c r="D21" s="47" t="s">
        <v>286</v>
      </c>
      <c r="E21" s="39">
        <v>0.5076388888888889</v>
      </c>
    </row>
    <row r="22" spans="1:5" ht="12.75">
      <c r="A22">
        <v>181</v>
      </c>
      <c r="B22" s="17">
        <f>0.3048*354</f>
        <v>107.89920000000001</v>
      </c>
      <c r="C22" s="19" t="s">
        <v>249</v>
      </c>
      <c r="D22" s="19"/>
      <c r="E22" s="39">
        <v>0.5201388888888889</v>
      </c>
    </row>
    <row r="23" spans="1:5" ht="12.75">
      <c r="A23">
        <v>196</v>
      </c>
      <c r="B23" s="17">
        <f>0.3048*461</f>
        <v>140.5128</v>
      </c>
      <c r="C23" s="19" t="s">
        <v>309</v>
      </c>
      <c r="D23" s="47" t="s">
        <v>286</v>
      </c>
      <c r="E23" s="39">
        <v>0.5298611111111111</v>
      </c>
    </row>
    <row r="24" spans="1:5" ht="12.75">
      <c r="A24">
        <v>216</v>
      </c>
      <c r="B24" s="17">
        <f>0.3048*546</f>
        <v>166.4208</v>
      </c>
      <c r="C24" s="19" t="s">
        <v>250</v>
      </c>
      <c r="D24" s="47" t="s">
        <v>286</v>
      </c>
      <c r="E24" s="39">
        <v>0.5472222222222223</v>
      </c>
    </row>
    <row r="25" spans="1:5" ht="12.75">
      <c r="A25">
        <v>231</v>
      </c>
      <c r="B25" s="17">
        <f>0.3048*621</f>
        <v>189.2808</v>
      </c>
      <c r="C25" s="19" t="s">
        <v>310</v>
      </c>
      <c r="D25" s="47" t="s">
        <v>286</v>
      </c>
      <c r="E25" s="39">
        <v>0.5590277777777778</v>
      </c>
    </row>
    <row r="26" spans="1:5" ht="12.75">
      <c r="A26">
        <v>240</v>
      </c>
      <c r="B26" s="17">
        <f>0.3048*731</f>
        <v>222.80880000000002</v>
      </c>
      <c r="C26" s="19" t="s">
        <v>311</v>
      </c>
      <c r="D26" s="47" t="s">
        <v>286</v>
      </c>
      <c r="E26" s="39">
        <v>0.5659722222222222</v>
      </c>
    </row>
    <row r="27" spans="1:5" ht="12.75">
      <c r="A27">
        <v>248</v>
      </c>
      <c r="B27" s="17">
        <f>0.3048*879</f>
        <v>267.9192</v>
      </c>
      <c r="C27" s="19" t="s">
        <v>312</v>
      </c>
      <c r="D27" s="47" t="s">
        <v>286</v>
      </c>
      <c r="E27" s="39">
        <v>0.5736111111111111</v>
      </c>
    </row>
    <row r="28" spans="1:5" ht="12.75">
      <c r="A28">
        <v>257</v>
      </c>
      <c r="B28" s="17">
        <f>0.3048*1280</f>
        <v>390.144</v>
      </c>
      <c r="C28" s="19" t="s">
        <v>313</v>
      </c>
      <c r="D28" s="47" t="s">
        <v>286</v>
      </c>
      <c r="E28" s="39">
        <v>0.5840277777777778</v>
      </c>
    </row>
    <row r="29" spans="1:5" ht="12.75">
      <c r="A29">
        <v>269</v>
      </c>
      <c r="B29" s="17">
        <f>0.3048*1688</f>
        <v>514.5024000000001</v>
      </c>
      <c r="C29" s="19" t="s">
        <v>252</v>
      </c>
      <c r="D29" s="47" t="s">
        <v>286</v>
      </c>
      <c r="E29" s="39">
        <v>0.5993055555555555</v>
      </c>
    </row>
    <row r="30" spans="1:5" ht="12.75">
      <c r="A30">
        <v>281</v>
      </c>
      <c r="B30" s="17">
        <f>0.3048*1456</f>
        <v>443.78880000000004</v>
      </c>
      <c r="C30" t="s">
        <v>314</v>
      </c>
      <c r="D30" s="47" t="s">
        <v>286</v>
      </c>
      <c r="E30" s="39">
        <v>0.6152777777777778</v>
      </c>
    </row>
    <row r="31" spans="1:5" ht="12.75">
      <c r="A31">
        <v>294</v>
      </c>
      <c r="B31" s="17">
        <f>0.3048*1954</f>
        <v>595.5792</v>
      </c>
      <c r="C31" t="s">
        <v>315</v>
      </c>
      <c r="D31" s="47" t="s">
        <v>286</v>
      </c>
      <c r="E31" s="39">
        <v>0.6256944444444444</v>
      </c>
    </row>
    <row r="32" spans="1:5" ht="12.75">
      <c r="A32">
        <v>306</v>
      </c>
      <c r="B32" s="17">
        <f>0.3048*2127</f>
        <v>648.3096</v>
      </c>
      <c r="C32" t="s">
        <v>253</v>
      </c>
      <c r="D32" s="47" t="s">
        <v>286</v>
      </c>
      <c r="E32" s="39">
        <v>0.6347222222222222</v>
      </c>
    </row>
    <row r="33" spans="1:5" ht="12.75">
      <c r="A33">
        <v>319</v>
      </c>
      <c r="B33" s="17">
        <f>0.3048*2337</f>
        <v>712.3176000000001</v>
      </c>
      <c r="C33" t="s">
        <v>125</v>
      </c>
      <c r="D33" s="47" t="s">
        <v>286</v>
      </c>
      <c r="E33" s="39">
        <v>0.6444444444444445</v>
      </c>
    </row>
    <row r="34" spans="1:5" ht="12.75">
      <c r="A34">
        <v>330</v>
      </c>
      <c r="B34" s="17">
        <f>0.3048*2212</f>
        <v>674.2176000000001</v>
      </c>
      <c r="C34" t="s">
        <v>254</v>
      </c>
      <c r="D34" s="47"/>
      <c r="E34" s="39">
        <v>0.6534722222222222</v>
      </c>
    </row>
    <row r="35" spans="1:5" ht="12.75">
      <c r="A35">
        <v>342</v>
      </c>
      <c r="B35" s="17">
        <f>0.3048*2056</f>
        <v>626.6688</v>
      </c>
      <c r="C35" s="19" t="s">
        <v>316</v>
      </c>
      <c r="D35" s="47" t="s">
        <v>286</v>
      </c>
      <c r="E35" s="39">
        <v>0.6638888888888889</v>
      </c>
    </row>
    <row r="36" spans="1:5" ht="12.75">
      <c r="A36">
        <v>354</v>
      </c>
      <c r="B36" s="17">
        <f>0.3048*1957</f>
        <v>596.4936</v>
      </c>
      <c r="C36" t="s">
        <v>317</v>
      </c>
      <c r="D36" s="47" t="s">
        <v>286</v>
      </c>
      <c r="E36" s="39">
        <v>0.6756944444444445</v>
      </c>
    </row>
    <row r="37" spans="1:5" ht="12.75">
      <c r="A37">
        <v>369</v>
      </c>
      <c r="B37" s="17">
        <f>0.3048*1890</f>
        <v>576.072</v>
      </c>
      <c r="C37" t="s">
        <v>318</v>
      </c>
      <c r="D37" s="47" t="s">
        <v>286</v>
      </c>
      <c r="E37" s="39">
        <v>0.6895833333333333</v>
      </c>
    </row>
    <row r="38" spans="1:5" ht="12.75">
      <c r="A38">
        <v>376</v>
      </c>
      <c r="B38" s="17">
        <f>0.3048*1732</f>
        <v>527.9136</v>
      </c>
      <c r="C38" s="39" t="s">
        <v>255</v>
      </c>
      <c r="D38" s="47"/>
      <c r="E38" s="39">
        <v>0.6979166666666666</v>
      </c>
    </row>
    <row r="39" spans="1:5" ht="12.75">
      <c r="A39">
        <v>388</v>
      </c>
      <c r="B39" s="17">
        <f>0.3048*1432</f>
        <v>436.47360000000003</v>
      </c>
      <c r="C39" t="s">
        <v>319</v>
      </c>
      <c r="D39" s="47" t="s">
        <v>286</v>
      </c>
      <c r="E39" s="39">
        <v>0.7180555555555556</v>
      </c>
    </row>
    <row r="40" spans="1:5" ht="12.75">
      <c r="A40">
        <v>393</v>
      </c>
      <c r="B40" s="17">
        <f>0.3048*1368</f>
        <v>416.9664</v>
      </c>
      <c r="C40" s="19" t="s">
        <v>256</v>
      </c>
      <c r="D40" s="19" t="s">
        <v>246</v>
      </c>
      <c r="E40" s="39">
        <v>0.725</v>
      </c>
    </row>
    <row r="41" spans="1:5" ht="12.75">
      <c r="A41">
        <v>393</v>
      </c>
      <c r="B41" s="17">
        <f>0.3048*1368</f>
        <v>416.9664</v>
      </c>
      <c r="C41" s="19" t="s">
        <v>256</v>
      </c>
      <c r="D41" s="19" t="s">
        <v>241</v>
      </c>
      <c r="E41" s="39">
        <v>0.7319444444444444</v>
      </c>
    </row>
    <row r="42" spans="1:5" ht="12.75">
      <c r="A42">
        <v>401</v>
      </c>
      <c r="B42" s="17">
        <f>0.3048*1176</f>
        <v>358.44480000000004</v>
      </c>
      <c r="C42" t="s">
        <v>320</v>
      </c>
      <c r="D42" s="47" t="s">
        <v>286</v>
      </c>
      <c r="E42" s="39">
        <v>0.7388888888888889</v>
      </c>
    </row>
    <row r="43" spans="1:5" ht="12.75">
      <c r="A43">
        <v>413</v>
      </c>
      <c r="B43" s="17">
        <f>0.3048*1006</f>
        <v>306.6288</v>
      </c>
      <c r="C43" t="s">
        <v>321</v>
      </c>
      <c r="D43" s="47" t="s">
        <v>286</v>
      </c>
      <c r="E43" s="39">
        <v>0.7479166666666667</v>
      </c>
    </row>
    <row r="44" spans="1:5" ht="12.75">
      <c r="A44">
        <v>429</v>
      </c>
      <c r="B44" s="17">
        <f>0.3048*810</f>
        <v>246.888</v>
      </c>
      <c r="C44" t="s">
        <v>322</v>
      </c>
      <c r="D44" s="47" t="s">
        <v>286</v>
      </c>
      <c r="E44" s="39">
        <v>0.7583333333333333</v>
      </c>
    </row>
    <row r="45" spans="1:5" ht="12.75">
      <c r="A45">
        <v>448</v>
      </c>
      <c r="B45" s="17">
        <f>0.3048*537</f>
        <v>163.6776</v>
      </c>
      <c r="C45" t="s">
        <v>323</v>
      </c>
      <c r="D45" s="47"/>
      <c r="E45" s="39">
        <v>0.7722222222222223</v>
      </c>
    </row>
    <row r="46" spans="1:5" ht="12.75">
      <c r="A46">
        <v>462</v>
      </c>
      <c r="B46" s="17">
        <f>0.3048*433</f>
        <v>131.9784</v>
      </c>
      <c r="C46" t="s">
        <v>324</v>
      </c>
      <c r="D46" s="47" t="s">
        <v>286</v>
      </c>
      <c r="E46" s="39">
        <v>0.7826388888888889</v>
      </c>
    </row>
    <row r="47" spans="1:5" ht="12.75">
      <c r="A47">
        <v>479</v>
      </c>
      <c r="B47" s="17">
        <f>0.3048*362</f>
        <v>110.33760000000001</v>
      </c>
      <c r="C47" s="19" t="s">
        <v>257</v>
      </c>
      <c r="D47" s="47"/>
      <c r="E47" s="39">
        <v>0.7965277777777777</v>
      </c>
    </row>
    <row r="48" spans="1:5" ht="12.75">
      <c r="A48">
        <v>484</v>
      </c>
      <c r="B48" s="17">
        <f>0.3048*367</f>
        <v>111.86160000000001</v>
      </c>
      <c r="C48" s="19" t="s">
        <v>325</v>
      </c>
      <c r="D48" s="47" t="s">
        <v>286</v>
      </c>
      <c r="E48" s="39">
        <v>0.8034722222222223</v>
      </c>
    </row>
    <row r="49" spans="1:5" ht="12.75">
      <c r="A49">
        <v>493</v>
      </c>
      <c r="B49" s="17">
        <f>0.3048*368</f>
        <v>112.16640000000001</v>
      </c>
      <c r="C49" s="19" t="s">
        <v>326</v>
      </c>
      <c r="D49" s="47" t="s">
        <v>286</v>
      </c>
      <c r="E49" s="39">
        <v>0.8090277777777778</v>
      </c>
    </row>
    <row r="50" spans="1:5" ht="12.75">
      <c r="A50">
        <v>511</v>
      </c>
      <c r="B50" s="17">
        <f>0.3048*368</f>
        <v>112.16640000000001</v>
      </c>
      <c r="C50" s="19" t="s">
        <v>327</v>
      </c>
      <c r="D50" s="47" t="s">
        <v>286</v>
      </c>
      <c r="E50" s="39">
        <v>0.8201388888888889</v>
      </c>
    </row>
    <row r="51" spans="1:5" ht="12.75">
      <c r="A51">
        <v>523</v>
      </c>
      <c r="B51" s="17">
        <f>0.3048*406</f>
        <v>123.7488</v>
      </c>
      <c r="C51" s="19" t="s">
        <v>328</v>
      </c>
      <c r="D51" s="47" t="s">
        <v>286</v>
      </c>
      <c r="E51" s="39">
        <v>0.8277777777777777</v>
      </c>
    </row>
    <row r="52" spans="1:5" ht="12.75">
      <c r="A52">
        <v>541</v>
      </c>
      <c r="B52" s="17">
        <f>0.3048*465</f>
        <v>141.732</v>
      </c>
      <c r="C52" s="19" t="s">
        <v>329</v>
      </c>
      <c r="D52" s="47" t="s">
        <v>286</v>
      </c>
      <c r="E52" s="39">
        <v>0.8402777777777778</v>
      </c>
    </row>
    <row r="53" spans="1:5" ht="12.75">
      <c r="A53">
        <v>550</v>
      </c>
      <c r="B53" s="17">
        <f>0.3048*520</f>
        <v>158.496</v>
      </c>
      <c r="C53" s="19" t="s">
        <v>330</v>
      </c>
      <c r="D53" s="47" t="s">
        <v>286</v>
      </c>
      <c r="E53" s="39">
        <v>0.8472222222222222</v>
      </c>
    </row>
    <row r="54" spans="1:5" ht="12.75">
      <c r="A54">
        <v>561</v>
      </c>
      <c r="B54" s="17">
        <f>0.3048*609</f>
        <v>185.6232</v>
      </c>
      <c r="C54" s="19" t="s">
        <v>331</v>
      </c>
      <c r="D54" s="47" t="s">
        <v>286</v>
      </c>
      <c r="E54" s="39">
        <v>0.8576388888888888</v>
      </c>
    </row>
    <row r="55" spans="1:5" ht="12.75">
      <c r="A55">
        <v>573</v>
      </c>
      <c r="B55" s="17">
        <f>0.3048*448</f>
        <v>136.5504</v>
      </c>
      <c r="C55" s="19" t="s">
        <v>258</v>
      </c>
      <c r="D55" s="19" t="s">
        <v>246</v>
      </c>
      <c r="E55" s="39">
        <v>0.8715277777777778</v>
      </c>
    </row>
    <row r="56" spans="1:4" ht="12.75">
      <c r="A56" s="16"/>
      <c r="C56" s="19" t="s">
        <v>290</v>
      </c>
      <c r="D56" s="19"/>
    </row>
    <row r="58" spans="1:5" ht="12.75">
      <c r="A58" s="50" t="s">
        <v>2</v>
      </c>
      <c r="B58" s="36" t="s">
        <v>222</v>
      </c>
      <c r="C58" s="42" t="s">
        <v>237</v>
      </c>
      <c r="D58" s="19"/>
      <c r="E58" s="41" t="s">
        <v>57</v>
      </c>
    </row>
    <row r="59" spans="1:5" ht="12.75">
      <c r="A59" s="16"/>
      <c r="C59" s="42" t="s">
        <v>350</v>
      </c>
      <c r="D59" s="19"/>
      <c r="E59">
        <v>5</v>
      </c>
    </row>
    <row r="60" spans="1:5" ht="12.75">
      <c r="A60" s="16"/>
      <c r="C60" s="19"/>
      <c r="D60" s="19"/>
      <c r="E60" s="43" t="s">
        <v>352</v>
      </c>
    </row>
    <row r="61" spans="1:5" ht="12.75">
      <c r="A61" s="17">
        <f>A55-A55</f>
        <v>0</v>
      </c>
      <c r="B61" s="17">
        <f>B55-B55</f>
        <v>0</v>
      </c>
      <c r="C61" s="19" t="s">
        <v>258</v>
      </c>
      <c r="D61" s="19" t="s">
        <v>241</v>
      </c>
      <c r="E61" s="39">
        <v>0.375</v>
      </c>
    </row>
    <row r="62" spans="1:5" ht="12.75">
      <c r="A62" s="17">
        <f>A55-A54</f>
        <v>12</v>
      </c>
      <c r="B62" s="17">
        <f>B54</f>
        <v>185.6232</v>
      </c>
      <c r="C62" s="19" t="s">
        <v>331</v>
      </c>
      <c r="D62" s="47" t="s">
        <v>286</v>
      </c>
      <c r="E62" s="39">
        <v>0.3854166666666667</v>
      </c>
    </row>
    <row r="63" spans="1:5" ht="12.75">
      <c r="A63" s="17">
        <f>A55-A53</f>
        <v>23</v>
      </c>
      <c r="B63" s="17">
        <f>B53</f>
        <v>158.496</v>
      </c>
      <c r="C63" s="19" t="s">
        <v>330</v>
      </c>
      <c r="D63" s="47" t="s">
        <v>286</v>
      </c>
      <c r="E63" s="39">
        <v>0.3958333333333333</v>
      </c>
    </row>
    <row r="64" spans="1:5" ht="12.75">
      <c r="A64" s="17">
        <f>A55-A52</f>
        <v>32</v>
      </c>
      <c r="B64" s="17">
        <f>B52</f>
        <v>141.732</v>
      </c>
      <c r="C64" s="19" t="s">
        <v>329</v>
      </c>
      <c r="D64" s="47" t="s">
        <v>286</v>
      </c>
      <c r="E64" s="39">
        <v>0.4027777777777778</v>
      </c>
    </row>
    <row r="65" spans="1:5" ht="12.75">
      <c r="A65" s="17">
        <f>A55-A51</f>
        <v>50</v>
      </c>
      <c r="B65" s="17">
        <f>B51</f>
        <v>123.7488</v>
      </c>
      <c r="C65" s="19" t="s">
        <v>328</v>
      </c>
      <c r="D65" s="47" t="s">
        <v>286</v>
      </c>
      <c r="E65" s="39">
        <v>0.41458333333333336</v>
      </c>
    </row>
    <row r="66" spans="1:5" ht="12.75">
      <c r="A66" s="17">
        <f>A55-A50</f>
        <v>62</v>
      </c>
      <c r="B66" s="17">
        <f>B50</f>
        <v>112.16640000000001</v>
      </c>
      <c r="C66" s="19" t="s">
        <v>327</v>
      </c>
      <c r="D66" s="47" t="s">
        <v>286</v>
      </c>
      <c r="E66" s="39">
        <v>0.4222222222222222</v>
      </c>
    </row>
    <row r="67" spans="1:5" ht="12.75">
      <c r="A67" s="17">
        <f>A55-A49</f>
        <v>80</v>
      </c>
      <c r="B67" s="17">
        <f>B49</f>
        <v>112.16640000000001</v>
      </c>
      <c r="C67" s="19" t="s">
        <v>326</v>
      </c>
      <c r="D67" s="47" t="s">
        <v>286</v>
      </c>
      <c r="E67" s="39">
        <v>0.43333333333333335</v>
      </c>
    </row>
    <row r="68" spans="1:5" ht="12.75">
      <c r="A68" s="17">
        <f>A55-A48</f>
        <v>89</v>
      </c>
      <c r="B68" s="17">
        <f>B48</f>
        <v>111.86160000000001</v>
      </c>
      <c r="C68" s="19" t="s">
        <v>325</v>
      </c>
      <c r="D68" s="47" t="s">
        <v>286</v>
      </c>
      <c r="E68" s="39">
        <v>0.4388888888888889</v>
      </c>
    </row>
    <row r="69" spans="1:5" ht="12.75">
      <c r="A69" s="17">
        <f>A55-A47</f>
        <v>94</v>
      </c>
      <c r="B69" s="17">
        <f>B47</f>
        <v>110.33760000000001</v>
      </c>
      <c r="C69" s="19" t="s">
        <v>257</v>
      </c>
      <c r="D69" s="47"/>
      <c r="E69" s="39">
        <v>0.44722222222222224</v>
      </c>
    </row>
    <row r="70" spans="1:5" ht="12.75">
      <c r="A70" s="17">
        <f>A55-A46</f>
        <v>111</v>
      </c>
      <c r="B70" s="17">
        <f>B46</f>
        <v>131.9784</v>
      </c>
      <c r="C70" t="s">
        <v>324</v>
      </c>
      <c r="D70" s="47" t="s">
        <v>286</v>
      </c>
      <c r="E70" s="39">
        <v>0.4576388888888889</v>
      </c>
    </row>
    <row r="71" spans="1:5" ht="12.75">
      <c r="A71" s="17">
        <f>A55-A45</f>
        <v>125</v>
      </c>
      <c r="B71" s="17">
        <f>B45</f>
        <v>163.6776</v>
      </c>
      <c r="C71" t="s">
        <v>323</v>
      </c>
      <c r="D71" s="47"/>
      <c r="E71" s="39">
        <v>0.46805555555555556</v>
      </c>
    </row>
    <row r="72" spans="1:5" ht="12.75">
      <c r="A72" s="17">
        <f>A55-A44</f>
        <v>144</v>
      </c>
      <c r="B72" s="17">
        <f>B44</f>
        <v>246.888</v>
      </c>
      <c r="C72" t="s">
        <v>322</v>
      </c>
      <c r="D72" s="47" t="s">
        <v>286</v>
      </c>
      <c r="E72" s="39">
        <v>0.48125</v>
      </c>
    </row>
    <row r="73" spans="1:5" ht="12.75">
      <c r="A73" s="17">
        <f>A55-A43</f>
        <v>160</v>
      </c>
      <c r="B73" s="17">
        <f>B43</f>
        <v>306.6288</v>
      </c>
      <c r="C73" t="s">
        <v>321</v>
      </c>
      <c r="D73" s="47" t="s">
        <v>286</v>
      </c>
      <c r="E73" s="39">
        <v>0.49166666666666664</v>
      </c>
    </row>
    <row r="74" spans="1:5" ht="12.75">
      <c r="A74" s="17">
        <f>A55-A42</f>
        <v>172</v>
      </c>
      <c r="B74" s="17">
        <f>B42</f>
        <v>358.44480000000004</v>
      </c>
      <c r="C74" t="s">
        <v>320</v>
      </c>
      <c r="D74" s="47" t="s">
        <v>286</v>
      </c>
      <c r="E74" s="39">
        <v>0.5006944444444444</v>
      </c>
    </row>
    <row r="75" spans="1:5" ht="12.75">
      <c r="A75" s="17">
        <f>A55-A41</f>
        <v>180</v>
      </c>
      <c r="B75" s="17">
        <f>B41</f>
        <v>416.9664</v>
      </c>
      <c r="C75" s="19" t="s">
        <v>256</v>
      </c>
      <c r="D75" s="19" t="s">
        <v>246</v>
      </c>
      <c r="E75" s="39">
        <v>0.50625</v>
      </c>
    </row>
    <row r="76" spans="1:5" ht="12.75">
      <c r="A76" s="17">
        <f>A55-A40</f>
        <v>180</v>
      </c>
      <c r="B76" s="17">
        <f>B40</f>
        <v>416.9664</v>
      </c>
      <c r="C76" s="19" t="s">
        <v>256</v>
      </c>
      <c r="D76" s="19" t="s">
        <v>241</v>
      </c>
      <c r="E76" s="39">
        <v>0.5131944444444444</v>
      </c>
    </row>
    <row r="77" spans="1:5" ht="12.75">
      <c r="A77" s="17">
        <f>A55-A39</f>
        <v>185</v>
      </c>
      <c r="B77" s="17">
        <f>B39</f>
        <v>436.47360000000003</v>
      </c>
      <c r="C77" t="s">
        <v>319</v>
      </c>
      <c r="D77" s="47" t="s">
        <v>286</v>
      </c>
      <c r="E77" s="39">
        <v>0.5201388888888889</v>
      </c>
    </row>
    <row r="78" spans="1:5" ht="12.75">
      <c r="A78" s="17">
        <f>A55-A38</f>
        <v>197</v>
      </c>
      <c r="B78" s="17">
        <f>B38</f>
        <v>527.9136</v>
      </c>
      <c r="C78" s="39" t="s">
        <v>255</v>
      </c>
      <c r="D78" s="47"/>
      <c r="E78" s="39">
        <v>0.5416666666666666</v>
      </c>
    </row>
    <row r="79" spans="1:5" ht="12.75">
      <c r="A79" s="17">
        <f>A55-A37</f>
        <v>204</v>
      </c>
      <c r="B79" s="17">
        <f>B37</f>
        <v>576.072</v>
      </c>
      <c r="C79" t="s">
        <v>318</v>
      </c>
      <c r="D79" s="47" t="s">
        <v>286</v>
      </c>
      <c r="E79" s="39">
        <v>0.5486111111111112</v>
      </c>
    </row>
    <row r="80" spans="1:5" ht="12.75">
      <c r="A80" s="17">
        <f>A55-A36</f>
        <v>219</v>
      </c>
      <c r="B80" s="17">
        <f>B36</f>
        <v>596.4936</v>
      </c>
      <c r="C80" t="s">
        <v>317</v>
      </c>
      <c r="D80" s="47" t="s">
        <v>286</v>
      </c>
      <c r="E80" s="39">
        <v>0.5618055555555556</v>
      </c>
    </row>
    <row r="81" spans="1:5" ht="12.75">
      <c r="A81" s="17">
        <f>A55-A35</f>
        <v>231</v>
      </c>
      <c r="B81" s="17">
        <f>B35</f>
        <v>626.6688</v>
      </c>
      <c r="C81" s="19" t="s">
        <v>316</v>
      </c>
      <c r="D81" s="47" t="s">
        <v>286</v>
      </c>
      <c r="E81" s="39">
        <v>0.5722222222222222</v>
      </c>
    </row>
    <row r="82" spans="1:5" ht="12.75">
      <c r="A82" s="17">
        <f>A55-A34</f>
        <v>243</v>
      </c>
      <c r="B82" s="17">
        <f>B34</f>
        <v>674.2176000000001</v>
      </c>
      <c r="C82" t="s">
        <v>254</v>
      </c>
      <c r="D82" s="47"/>
      <c r="E82" s="39">
        <v>0.5826388888888889</v>
      </c>
    </row>
    <row r="83" spans="1:5" ht="12.75">
      <c r="A83" s="17">
        <f>A55-A33</f>
        <v>254</v>
      </c>
      <c r="B83" s="17">
        <f>B33</f>
        <v>712.3176000000001</v>
      </c>
      <c r="C83" t="s">
        <v>125</v>
      </c>
      <c r="D83" s="47" t="s">
        <v>286</v>
      </c>
      <c r="E83" s="39">
        <v>0.5916666666666667</v>
      </c>
    </row>
    <row r="84" spans="1:5" ht="12.75">
      <c r="A84" s="17">
        <f>A55-A32</f>
        <v>267</v>
      </c>
      <c r="B84" s="17">
        <f>B32</f>
        <v>648.3096</v>
      </c>
      <c r="C84" t="s">
        <v>253</v>
      </c>
      <c r="D84" s="47" t="s">
        <v>286</v>
      </c>
      <c r="E84" s="39">
        <v>0.6006944444444444</v>
      </c>
    </row>
    <row r="85" spans="1:5" ht="12.75">
      <c r="A85" s="17">
        <f>A55-A31</f>
        <v>279</v>
      </c>
      <c r="B85" s="17">
        <f>B31</f>
        <v>595.5792</v>
      </c>
      <c r="C85" t="s">
        <v>315</v>
      </c>
      <c r="D85" s="47" t="s">
        <v>286</v>
      </c>
      <c r="E85" s="39">
        <v>0.6076388888888888</v>
      </c>
    </row>
    <row r="86" spans="1:5" ht="12.75">
      <c r="A86" s="17">
        <f>A55-A30</f>
        <v>292</v>
      </c>
      <c r="B86" s="17">
        <f>B30</f>
        <v>443.78880000000004</v>
      </c>
      <c r="C86" t="s">
        <v>314</v>
      </c>
      <c r="D86" s="47" t="s">
        <v>286</v>
      </c>
      <c r="E86" s="39">
        <v>0.6208333333333333</v>
      </c>
    </row>
    <row r="87" spans="1:5" ht="12.75">
      <c r="A87" s="17">
        <f>A55-A29</f>
        <v>304</v>
      </c>
      <c r="B87" s="17">
        <f>B29</f>
        <v>514.5024000000001</v>
      </c>
      <c r="C87" s="19" t="s">
        <v>252</v>
      </c>
      <c r="D87" s="47" t="s">
        <v>286</v>
      </c>
      <c r="E87" s="39">
        <v>0.6347222222222222</v>
      </c>
    </row>
    <row r="88" spans="1:5" ht="12.75">
      <c r="A88" s="17">
        <f>A55-A28</f>
        <v>316</v>
      </c>
      <c r="B88" s="17">
        <f>B28</f>
        <v>390.144</v>
      </c>
      <c r="C88" s="19" t="s">
        <v>313</v>
      </c>
      <c r="D88" s="47" t="s">
        <v>286</v>
      </c>
      <c r="E88" s="39">
        <v>0.6451388888888889</v>
      </c>
    </row>
    <row r="89" spans="1:5" ht="12.75">
      <c r="A89" s="17">
        <f>A55-A27</f>
        <v>325</v>
      </c>
      <c r="B89" s="17">
        <f>B27</f>
        <v>267.9192</v>
      </c>
      <c r="C89" s="19" t="s">
        <v>312</v>
      </c>
      <c r="D89" s="47" t="s">
        <v>286</v>
      </c>
      <c r="E89" s="39">
        <v>0.6534722222222222</v>
      </c>
    </row>
    <row r="90" spans="1:5" ht="12.75">
      <c r="A90" s="17">
        <f>A55-A26</f>
        <v>333</v>
      </c>
      <c r="B90" s="17">
        <f>B26</f>
        <v>222.80880000000002</v>
      </c>
      <c r="C90" s="19" t="s">
        <v>311</v>
      </c>
      <c r="D90" s="47" t="s">
        <v>286</v>
      </c>
      <c r="E90" s="39">
        <v>0.6604166666666667</v>
      </c>
    </row>
    <row r="91" spans="1:5" ht="12.75">
      <c r="A91" s="17">
        <f>A55-A25</f>
        <v>342</v>
      </c>
      <c r="B91" s="17">
        <f>B25</f>
        <v>189.2808</v>
      </c>
      <c r="C91" s="19" t="s">
        <v>310</v>
      </c>
      <c r="D91" s="47" t="s">
        <v>286</v>
      </c>
      <c r="E91" s="39">
        <v>0.6673611111111111</v>
      </c>
    </row>
    <row r="92" spans="1:5" ht="12.75">
      <c r="A92" s="17">
        <f>A55-A24</f>
        <v>357</v>
      </c>
      <c r="B92" s="17">
        <f>B24</f>
        <v>166.4208</v>
      </c>
      <c r="C92" s="19" t="s">
        <v>250</v>
      </c>
      <c r="D92" s="47" t="s">
        <v>286</v>
      </c>
      <c r="E92" s="39">
        <v>0.6840277777777778</v>
      </c>
    </row>
    <row r="93" spans="1:5" ht="12.75">
      <c r="A93" s="17">
        <f>A55-A23</f>
        <v>377</v>
      </c>
      <c r="B93" s="17">
        <f>B23</f>
        <v>140.5128</v>
      </c>
      <c r="C93" s="19" t="s">
        <v>309</v>
      </c>
      <c r="D93" s="47" t="s">
        <v>286</v>
      </c>
      <c r="E93" s="39">
        <v>0.6979166666666666</v>
      </c>
    </row>
    <row r="94" spans="1:5" ht="12.75">
      <c r="A94" s="17">
        <f>A55-A22</f>
        <v>392</v>
      </c>
      <c r="B94" s="17">
        <f>B22</f>
        <v>107.89920000000001</v>
      </c>
      <c r="C94" s="19" t="s">
        <v>249</v>
      </c>
      <c r="D94" s="19"/>
      <c r="E94" s="39">
        <v>0.7097222222222223</v>
      </c>
    </row>
    <row r="95" spans="1:5" ht="12.75">
      <c r="A95" s="17">
        <f>A55-A21</f>
        <v>410</v>
      </c>
      <c r="B95" s="17">
        <f>B21</f>
        <v>99.9744</v>
      </c>
      <c r="C95" t="s">
        <v>307</v>
      </c>
      <c r="D95" s="47" t="s">
        <v>286</v>
      </c>
      <c r="E95" s="39">
        <v>0.7215277777777778</v>
      </c>
    </row>
    <row r="96" spans="1:7" ht="12.75">
      <c r="A96" s="17">
        <f>A55-A20</f>
        <v>420</v>
      </c>
      <c r="B96" s="17">
        <f>B20</f>
        <v>85.95360000000001</v>
      </c>
      <c r="C96" t="s">
        <v>305</v>
      </c>
      <c r="D96" s="47" t="s">
        <v>286</v>
      </c>
      <c r="E96" s="39">
        <v>0.7284722222222222</v>
      </c>
      <c r="G96" s="32"/>
    </row>
    <row r="97" spans="1:7" ht="12.75">
      <c r="A97" s="17">
        <f>A55-A19</f>
        <v>431</v>
      </c>
      <c r="B97" s="17">
        <f>B19</f>
        <v>74.9808</v>
      </c>
      <c r="C97" t="s">
        <v>303</v>
      </c>
      <c r="D97" s="47" t="s">
        <v>286</v>
      </c>
      <c r="E97" s="39">
        <v>0.7368055555555556</v>
      </c>
      <c r="G97" s="32"/>
    </row>
    <row r="98" spans="1:7" ht="12.75">
      <c r="A98" s="17">
        <f>A55-A18</f>
        <v>445</v>
      </c>
      <c r="B98" s="17">
        <f>B18</f>
        <v>71.9328</v>
      </c>
      <c r="C98" t="s">
        <v>302</v>
      </c>
      <c r="D98" s="47" t="s">
        <v>286</v>
      </c>
      <c r="E98" s="39">
        <v>0.7465277777777778</v>
      </c>
      <c r="G98" s="32"/>
    </row>
    <row r="99" spans="1:7" ht="12.75">
      <c r="A99" s="17">
        <f>A55-A17</f>
        <v>450</v>
      </c>
      <c r="B99" s="17">
        <f>B17</f>
        <v>53.34</v>
      </c>
      <c r="C99" t="s">
        <v>301</v>
      </c>
      <c r="D99" s="47" t="s">
        <v>286</v>
      </c>
      <c r="E99" s="39">
        <v>0.75</v>
      </c>
      <c r="G99" s="32"/>
    </row>
    <row r="100" spans="1:7" ht="12.75">
      <c r="A100" s="17">
        <f>A55-A16</f>
        <v>458</v>
      </c>
      <c r="B100" s="17">
        <f>B16</f>
        <v>70.7136</v>
      </c>
      <c r="C100" t="s">
        <v>300</v>
      </c>
      <c r="D100" s="47" t="s">
        <v>286</v>
      </c>
      <c r="E100" s="39">
        <v>0.7569444444444444</v>
      </c>
      <c r="G100" s="32"/>
    </row>
    <row r="101" spans="1:7" ht="12.75">
      <c r="A101" s="17">
        <f>A55-A15</f>
        <v>466</v>
      </c>
      <c r="B101" s="17">
        <f>B15</f>
        <v>71.9328</v>
      </c>
      <c r="C101" t="s">
        <v>299</v>
      </c>
      <c r="D101" s="47" t="s">
        <v>286</v>
      </c>
      <c r="E101" s="39">
        <v>0.7618055555555555</v>
      </c>
      <c r="G101" s="32"/>
    </row>
    <row r="102" spans="1:7" ht="12.75">
      <c r="A102" s="17">
        <f>A55-A14</f>
        <v>475</v>
      </c>
      <c r="B102" s="17">
        <f>B14</f>
        <v>74.9808</v>
      </c>
      <c r="C102" t="s">
        <v>298</v>
      </c>
      <c r="D102" s="47" t="s">
        <v>286</v>
      </c>
      <c r="E102" s="39">
        <v>0.7694444444444445</v>
      </c>
      <c r="G102" s="34"/>
    </row>
    <row r="103" spans="1:7" ht="12.75">
      <c r="A103" s="17">
        <f>A55-A13</f>
        <v>489</v>
      </c>
      <c r="B103" s="17">
        <f>B13</f>
        <v>91.44</v>
      </c>
      <c r="C103" s="19" t="s">
        <v>297</v>
      </c>
      <c r="D103" s="47" t="s">
        <v>286</v>
      </c>
      <c r="E103" s="39">
        <v>0.7784722222222222</v>
      </c>
      <c r="G103" s="32"/>
    </row>
    <row r="104" spans="1:7" ht="12.75">
      <c r="A104" s="17">
        <f>A55-A12</f>
        <v>500</v>
      </c>
      <c r="B104" s="17">
        <f>B12</f>
        <v>103.3272</v>
      </c>
      <c r="C104" s="19" t="s">
        <v>248</v>
      </c>
      <c r="D104" s="47"/>
      <c r="E104" s="39">
        <v>0.7868055555555555</v>
      </c>
      <c r="G104" s="32"/>
    </row>
    <row r="105" spans="1:7" ht="12.75">
      <c r="A105" s="17">
        <f>A55-A11</f>
        <v>514</v>
      </c>
      <c r="B105" s="17">
        <f>B11</f>
        <v>10.972800000000001</v>
      </c>
      <c r="C105" s="19" t="s">
        <v>247</v>
      </c>
      <c r="D105" s="47" t="s">
        <v>286</v>
      </c>
      <c r="E105" s="39">
        <v>0.8041666666666667</v>
      </c>
      <c r="G105" s="32"/>
    </row>
    <row r="106" spans="1:7" ht="12.75">
      <c r="A106" s="17">
        <f>A55-A10</f>
        <v>530</v>
      </c>
      <c r="B106" s="17">
        <f>B10</f>
        <v>15.24</v>
      </c>
      <c r="C106" s="19" t="s">
        <v>296</v>
      </c>
      <c r="D106" s="47" t="s">
        <v>286</v>
      </c>
      <c r="E106" s="39">
        <v>0.8152777777777778</v>
      </c>
      <c r="G106" s="34"/>
    </row>
    <row r="107" spans="1:7" ht="12.75">
      <c r="A107" s="17">
        <f>A55-A9</f>
        <v>538</v>
      </c>
      <c r="B107" s="17">
        <f>B9</f>
        <v>28.041600000000003</v>
      </c>
      <c r="C107" s="19" t="s">
        <v>295</v>
      </c>
      <c r="D107" s="47" t="s">
        <v>286</v>
      </c>
      <c r="E107" s="39">
        <v>0.8229166666666666</v>
      </c>
      <c r="G107" s="32"/>
    </row>
    <row r="108" spans="1:7" ht="12.75">
      <c r="A108" s="17">
        <f>A55-A8</f>
        <v>553</v>
      </c>
      <c r="B108" s="17">
        <f>B8</f>
        <v>60.0456</v>
      </c>
      <c r="C108" s="19" t="s">
        <v>294</v>
      </c>
      <c r="D108" s="47" t="s">
        <v>286</v>
      </c>
      <c r="E108" s="39">
        <v>0.8368055555555556</v>
      </c>
      <c r="G108" s="32"/>
    </row>
    <row r="109" spans="1:7" ht="12.75">
      <c r="A109" s="17">
        <f>A55-A7</f>
        <v>565</v>
      </c>
      <c r="B109" s="17">
        <f>B7</f>
        <v>67.6656</v>
      </c>
      <c r="C109" s="19" t="s">
        <v>293</v>
      </c>
      <c r="D109" s="47" t="s">
        <v>286</v>
      </c>
      <c r="E109" s="39">
        <v>0.8479166666666667</v>
      </c>
      <c r="G109" s="32"/>
    </row>
    <row r="110" spans="1:7" ht="12.75">
      <c r="A110" s="17">
        <f>A55-A6</f>
        <v>569</v>
      </c>
      <c r="B110" s="17">
        <f>B6</f>
        <v>12.192</v>
      </c>
      <c r="C110" s="19" t="s">
        <v>292</v>
      </c>
      <c r="D110" s="47" t="s">
        <v>286</v>
      </c>
      <c r="E110" s="39">
        <v>0.8513888888888889</v>
      </c>
      <c r="G110" s="32"/>
    </row>
    <row r="111" spans="1:7" ht="12.75">
      <c r="A111" s="17">
        <f>A55-A5</f>
        <v>573</v>
      </c>
      <c r="B111" s="17">
        <f>B5</f>
        <v>11.5824</v>
      </c>
      <c r="C111" s="19" t="s">
        <v>245</v>
      </c>
      <c r="D111" s="19" t="s">
        <v>246</v>
      </c>
      <c r="E111" s="39">
        <v>0.8611111111111112</v>
      </c>
      <c r="G111" s="32"/>
    </row>
    <row r="112" spans="3:7" ht="12.75">
      <c r="C112" s="19" t="s">
        <v>290</v>
      </c>
      <c r="D112" s="19"/>
      <c r="G112" s="18"/>
    </row>
    <row r="115" spans="1:11" ht="12.75">
      <c r="A115" s="50" t="s">
        <v>2</v>
      </c>
      <c r="B115" s="36" t="s">
        <v>222</v>
      </c>
      <c r="C115" s="42" t="s">
        <v>237</v>
      </c>
      <c r="D115" s="19"/>
      <c r="E115" s="57">
        <v>1</v>
      </c>
      <c r="F115" s="57">
        <v>2</v>
      </c>
      <c r="G115" s="57">
        <v>3</v>
      </c>
      <c r="I115" s="57">
        <v>1</v>
      </c>
      <c r="J115" s="57">
        <v>2</v>
      </c>
      <c r="K115" s="57">
        <v>3</v>
      </c>
    </row>
    <row r="116" spans="1:11" ht="12.75">
      <c r="A116" s="16"/>
      <c r="C116" s="42" t="s">
        <v>347</v>
      </c>
      <c r="D116" s="19"/>
      <c r="E116" s="62" t="s">
        <v>348</v>
      </c>
      <c r="F116" s="63" t="s">
        <v>348</v>
      </c>
      <c r="G116" s="63" t="s">
        <v>348</v>
      </c>
      <c r="I116" s="23" t="s">
        <v>32</v>
      </c>
      <c r="J116" s="23" t="s">
        <v>32</v>
      </c>
      <c r="K116" s="23" t="s">
        <v>32</v>
      </c>
    </row>
    <row r="117" spans="1:11" ht="12.75">
      <c r="A117" s="32">
        <v>0</v>
      </c>
      <c r="B117" s="17">
        <f>0.3048*38</f>
        <v>11.5824</v>
      </c>
      <c r="C117" s="19" t="s">
        <v>245</v>
      </c>
      <c r="D117" s="19" t="s">
        <v>241</v>
      </c>
      <c r="E117" s="39">
        <v>0.3888888888888889</v>
      </c>
      <c r="F117" s="39"/>
      <c r="G117" s="39"/>
      <c r="I117" s="39">
        <v>0.4791666666666667</v>
      </c>
      <c r="J117" s="39"/>
      <c r="K117" s="39"/>
    </row>
    <row r="118" spans="1:11" ht="12.75">
      <c r="A118" s="46">
        <v>80.61</v>
      </c>
      <c r="B118" s="17">
        <f>0.3048*33</f>
        <v>10.0584</v>
      </c>
      <c r="C118" s="19" t="s">
        <v>270</v>
      </c>
      <c r="D118" s="19" t="s">
        <v>246</v>
      </c>
      <c r="E118" s="39">
        <v>0.4097222222222222</v>
      </c>
      <c r="F118" s="39"/>
      <c r="G118" s="39"/>
      <c r="I118" s="39">
        <v>0.5416666666666666</v>
      </c>
      <c r="J118" s="39"/>
      <c r="K118" s="39"/>
    </row>
    <row r="119" spans="1:11" ht="12.75">
      <c r="A119" s="46">
        <v>80.61</v>
      </c>
      <c r="B119" s="17">
        <f>0.3048*33</f>
        <v>10.0584</v>
      </c>
      <c r="C119" s="19" t="s">
        <v>270</v>
      </c>
      <c r="D119" s="19" t="s">
        <v>241</v>
      </c>
      <c r="E119" s="39">
        <v>0.46875</v>
      </c>
      <c r="F119" s="39">
        <v>0.5659722222222222</v>
      </c>
      <c r="G119" s="39">
        <v>0.6875</v>
      </c>
      <c r="I119" s="39">
        <f>F119</f>
        <v>0.5659722222222222</v>
      </c>
      <c r="J119" s="39">
        <f>G119</f>
        <v>0.6875</v>
      </c>
      <c r="K119" s="39">
        <v>0.7847222222222222</v>
      </c>
    </row>
    <row r="120" spans="1:11" ht="12.75">
      <c r="A120" s="46">
        <v>100.56</v>
      </c>
      <c r="B120" s="17">
        <f>0.3048*21</f>
        <v>6.4008</v>
      </c>
      <c r="C120" s="19" t="s">
        <v>281</v>
      </c>
      <c r="D120" s="19" t="s">
        <v>246</v>
      </c>
      <c r="E120" s="39">
        <v>0.4930555555555556</v>
      </c>
      <c r="F120" s="39">
        <v>0.5902777777777778</v>
      </c>
      <c r="G120" s="39">
        <v>0.7118055555555556</v>
      </c>
      <c r="I120" s="39">
        <f>F120</f>
        <v>0.5902777777777778</v>
      </c>
      <c r="J120" s="39">
        <f>G120</f>
        <v>0.7118055555555556</v>
      </c>
      <c r="K120" s="39">
        <v>0.8090277777777778</v>
      </c>
    </row>
    <row r="121" spans="1:11" ht="12.75">
      <c r="A121" s="46"/>
      <c r="B121" s="17"/>
      <c r="C121" s="19" t="s">
        <v>349</v>
      </c>
      <c r="D121" s="19"/>
      <c r="E121" s="39"/>
      <c r="F121" s="39"/>
      <c r="G121" s="39"/>
      <c r="I121" s="39"/>
      <c r="J121" s="39"/>
      <c r="K121" s="39"/>
    </row>
    <row r="122" ht="12.75">
      <c r="D122" s="19"/>
    </row>
    <row r="123" spans="1:11" ht="12.75">
      <c r="A123" s="50" t="s">
        <v>2</v>
      </c>
      <c r="B123" s="36" t="s">
        <v>222</v>
      </c>
      <c r="C123" s="42" t="s">
        <v>223</v>
      </c>
      <c r="D123" s="19"/>
      <c r="E123" s="57">
        <v>1</v>
      </c>
      <c r="F123" s="57">
        <v>2</v>
      </c>
      <c r="G123" s="57">
        <v>3</v>
      </c>
      <c r="I123" s="57">
        <v>1</v>
      </c>
      <c r="J123" s="57">
        <v>2</v>
      </c>
      <c r="K123" s="57">
        <v>3</v>
      </c>
    </row>
    <row r="124" spans="1:11" ht="12.75">
      <c r="A124" s="16"/>
      <c r="C124" s="42" t="s">
        <v>347</v>
      </c>
      <c r="D124" s="19"/>
      <c r="E124" s="62" t="s">
        <v>348</v>
      </c>
      <c r="F124" s="63" t="s">
        <v>348</v>
      </c>
      <c r="G124" s="63" t="s">
        <v>348</v>
      </c>
      <c r="I124" s="23" t="s">
        <v>32</v>
      </c>
      <c r="J124" s="23" t="s">
        <v>32</v>
      </c>
      <c r="K124" s="23" t="s">
        <v>32</v>
      </c>
    </row>
    <row r="125" spans="1:11" ht="12.75">
      <c r="A125" s="32">
        <f>A120-A120</f>
        <v>0</v>
      </c>
      <c r="B125" s="17">
        <f>B120</f>
        <v>6.4008</v>
      </c>
      <c r="C125" s="19" t="s">
        <v>281</v>
      </c>
      <c r="D125" s="19" t="s">
        <v>241</v>
      </c>
      <c r="E125" s="39">
        <v>0.5173611111111112</v>
      </c>
      <c r="F125" s="39">
        <v>0.6388888888888888</v>
      </c>
      <c r="G125" s="39">
        <v>0.7361111111111112</v>
      </c>
      <c r="I125" s="39">
        <f>F125</f>
        <v>0.6388888888888888</v>
      </c>
      <c r="J125" s="39">
        <f>G125</f>
        <v>0.7361111111111112</v>
      </c>
      <c r="K125" s="39">
        <v>0.8333333333333334</v>
      </c>
    </row>
    <row r="126" spans="1:11" ht="12.75">
      <c r="A126" s="32">
        <f>A120-A119</f>
        <v>19.950000000000003</v>
      </c>
      <c r="B126" s="17">
        <f>B119</f>
        <v>10.0584</v>
      </c>
      <c r="C126" s="19" t="s">
        <v>270</v>
      </c>
      <c r="D126" s="19" t="s">
        <v>246</v>
      </c>
      <c r="E126" s="39">
        <v>0.5416666666666666</v>
      </c>
      <c r="F126" s="39">
        <v>0.6631944444444444</v>
      </c>
      <c r="G126" s="39">
        <v>0.7604166666666666</v>
      </c>
      <c r="I126" s="39">
        <f>F126</f>
        <v>0.6631944444444444</v>
      </c>
      <c r="J126" s="39">
        <f>G126</f>
        <v>0.7604166666666666</v>
      </c>
      <c r="K126" s="39">
        <v>0.8576388888888888</v>
      </c>
    </row>
    <row r="127" spans="1:11" ht="12.75">
      <c r="A127" s="32">
        <f>A126</f>
        <v>19.950000000000003</v>
      </c>
      <c r="B127" s="48">
        <f>B126</f>
        <v>10.0584</v>
      </c>
      <c r="C127" s="19" t="s">
        <v>270</v>
      </c>
      <c r="D127" s="19" t="s">
        <v>241</v>
      </c>
      <c r="E127" s="39"/>
      <c r="F127" s="39"/>
      <c r="G127" s="39">
        <v>0.7673611111111112</v>
      </c>
      <c r="I127" s="39"/>
      <c r="J127" s="39"/>
      <c r="K127" s="39">
        <v>0.8645833333333334</v>
      </c>
    </row>
    <row r="128" spans="1:11" ht="12.75">
      <c r="A128" s="32">
        <f>A120-A117</f>
        <v>100.56</v>
      </c>
      <c r="B128" s="17">
        <f>B117</f>
        <v>11.5824</v>
      </c>
      <c r="C128" s="19" t="s">
        <v>245</v>
      </c>
      <c r="D128" s="19" t="s">
        <v>246</v>
      </c>
      <c r="E128" s="39"/>
      <c r="F128" s="39"/>
      <c r="G128" s="39">
        <v>0.8298611111111112</v>
      </c>
      <c r="I128" s="39"/>
      <c r="J128" s="39"/>
      <c r="K128" s="39">
        <v>0.9270833333333334</v>
      </c>
    </row>
    <row r="129" ht="12.75">
      <c r="C129" s="19" t="s">
        <v>349</v>
      </c>
    </row>
    <row r="131" spans="1:5" ht="12.75">
      <c r="A131" s="3" t="s">
        <v>72</v>
      </c>
      <c r="C131" s="35" t="s">
        <v>221</v>
      </c>
      <c r="E131" s="36"/>
    </row>
    <row r="132" spans="1:3" ht="12.75">
      <c r="A132" s="36" t="s">
        <v>2</v>
      </c>
      <c r="B132" s="36" t="s">
        <v>222</v>
      </c>
      <c r="C132" s="35" t="s">
        <v>223</v>
      </c>
    </row>
    <row r="133" spans="3:5" ht="12.75">
      <c r="C133" s="35" t="s">
        <v>266</v>
      </c>
      <c r="E133" s="38"/>
    </row>
    <row r="134" spans="1:5" ht="12.75">
      <c r="A134" s="18">
        <v>0</v>
      </c>
      <c r="B134" s="18">
        <v>0</v>
      </c>
      <c r="C134" t="s">
        <v>225</v>
      </c>
      <c r="D134" t="s">
        <v>241</v>
      </c>
      <c r="E134" t="s">
        <v>226</v>
      </c>
    </row>
    <row r="135" spans="1:5" ht="12.75">
      <c r="A135" s="18">
        <v>2.73</v>
      </c>
      <c r="B135" s="18">
        <v>0</v>
      </c>
      <c r="C135" t="s">
        <v>227</v>
      </c>
      <c r="E135" s="39"/>
    </row>
    <row r="136" spans="1:5" ht="12.75">
      <c r="A136" s="18">
        <v>31.83</v>
      </c>
      <c r="B136" s="18">
        <f>0.3048*2885</f>
        <v>879.3480000000001</v>
      </c>
      <c r="C136" t="s">
        <v>228</v>
      </c>
      <c r="E136" s="40"/>
    </row>
    <row r="137" spans="1:5" ht="12.75">
      <c r="A137" s="18">
        <v>52.13</v>
      </c>
      <c r="B137" s="18">
        <f>0.3048*2916</f>
        <v>888.7968000000001</v>
      </c>
      <c r="C137" t="s">
        <v>229</v>
      </c>
      <c r="E137" s="40"/>
    </row>
    <row r="138" spans="1:5" ht="12.75">
      <c r="A138" s="18">
        <v>64.33</v>
      </c>
      <c r="B138" s="18">
        <f>0.3048*2158</f>
        <v>657.7584</v>
      </c>
      <c r="C138" t="s">
        <v>230</v>
      </c>
      <c r="E138" s="37"/>
    </row>
    <row r="139" spans="1:5" ht="12.75">
      <c r="A139" s="18">
        <v>107.63</v>
      </c>
      <c r="B139" s="18">
        <f>0.3048*2164</f>
        <v>659.5872</v>
      </c>
      <c r="C139" t="s">
        <v>116</v>
      </c>
      <c r="E139" s="40"/>
    </row>
    <row r="140" spans="1:5" ht="12.75">
      <c r="A140" s="18">
        <v>176.83</v>
      </c>
      <c r="B140" s="18">
        <f>0.3048*2079</f>
        <v>633.6792</v>
      </c>
      <c r="C140" t="s">
        <v>231</v>
      </c>
      <c r="D140" t="s">
        <v>246</v>
      </c>
      <c r="E140" s="40"/>
    </row>
    <row r="141" ht="12.75">
      <c r="C141" t="s">
        <v>232</v>
      </c>
    </row>
    <row r="142" ht="12.75">
      <c r="C142" t="s">
        <v>233</v>
      </c>
    </row>
    <row r="143" ht="12.75">
      <c r="C143" t="s">
        <v>234</v>
      </c>
    </row>
    <row r="144" ht="12.75">
      <c r="C144" t="s">
        <v>235</v>
      </c>
    </row>
    <row r="147" spans="3:5" ht="12.75">
      <c r="C147" s="35" t="s">
        <v>221</v>
      </c>
      <c r="E147" s="36"/>
    </row>
    <row r="148" spans="3:5" ht="12.75">
      <c r="C148" s="35"/>
      <c r="E148" s="36"/>
    </row>
    <row r="149" spans="1:3" ht="12.75">
      <c r="A149" s="36" t="s">
        <v>2</v>
      </c>
      <c r="B149" s="36" t="s">
        <v>222</v>
      </c>
      <c r="C149" s="35" t="s">
        <v>237</v>
      </c>
    </row>
    <row r="150" spans="3:5" ht="12.75">
      <c r="C150" s="35" t="s">
        <v>266</v>
      </c>
      <c r="E150" s="38"/>
    </row>
    <row r="151" spans="1:5" ht="12.75">
      <c r="A151" s="18">
        <f>A140-A140</f>
        <v>0</v>
      </c>
      <c r="B151" s="18">
        <f>0.3048*2079</f>
        <v>633.6792</v>
      </c>
      <c r="C151" t="s">
        <v>231</v>
      </c>
      <c r="D151" t="s">
        <v>241</v>
      </c>
      <c r="E151" t="s">
        <v>238</v>
      </c>
    </row>
    <row r="152" spans="1:5" ht="12.75">
      <c r="A152" s="34">
        <f>A140-A139</f>
        <v>69.20000000000002</v>
      </c>
      <c r="B152" s="18">
        <f>0.3048*2164</f>
        <v>659.5872</v>
      </c>
      <c r="C152" t="s">
        <v>116</v>
      </c>
      <c r="E152" s="40"/>
    </row>
    <row r="153" spans="1:5" ht="12.75">
      <c r="A153" s="34">
        <f>A140-A138</f>
        <v>112.50000000000001</v>
      </c>
      <c r="B153" s="18">
        <f>0.3048*2158</f>
        <v>657.7584</v>
      </c>
      <c r="C153" t="s">
        <v>230</v>
      </c>
      <c r="E153" s="40"/>
    </row>
    <row r="154" spans="1:5" ht="12.75">
      <c r="A154" s="34">
        <f>A140-A137</f>
        <v>124.70000000000002</v>
      </c>
      <c r="B154" s="18">
        <f>0.3048*2916</f>
        <v>888.7968000000001</v>
      </c>
      <c r="C154" t="s">
        <v>229</v>
      </c>
      <c r="E154" s="40"/>
    </row>
    <row r="155" spans="1:5" ht="12.75">
      <c r="A155" s="34">
        <f>A140-A136</f>
        <v>145</v>
      </c>
      <c r="B155" s="18">
        <f>0.3048*2885</f>
        <v>879.3480000000001</v>
      </c>
      <c r="C155" t="s">
        <v>228</v>
      </c>
      <c r="E155" s="40"/>
    </row>
    <row r="156" spans="1:5" ht="12.75">
      <c r="A156" s="34">
        <f>A140-A135</f>
        <v>174.10000000000002</v>
      </c>
      <c r="B156" s="18">
        <v>0</v>
      </c>
      <c r="C156" t="s">
        <v>227</v>
      </c>
      <c r="D156" t="s">
        <v>246</v>
      </c>
      <c r="E156" s="39"/>
    </row>
    <row r="157" spans="1:5" ht="12.75">
      <c r="A157" s="34">
        <f>A140-A134</f>
        <v>176.83</v>
      </c>
      <c r="B157" s="18">
        <v>0</v>
      </c>
      <c r="C157" t="s">
        <v>225</v>
      </c>
      <c r="D157" t="s">
        <v>246</v>
      </c>
      <c r="E157" s="40"/>
    </row>
    <row r="158" spans="3:5" ht="12.75">
      <c r="C158" t="s">
        <v>239</v>
      </c>
      <c r="E158" s="12"/>
    </row>
    <row r="159" ht="12.75">
      <c r="C159" t="s">
        <v>233</v>
      </c>
    </row>
    <row r="160" ht="12.75">
      <c r="C160" t="s">
        <v>234</v>
      </c>
    </row>
    <row r="161" ht="12.75">
      <c r="C161"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3.xml><?xml version="1.0" encoding="utf-8"?>
<worksheet xmlns="http://schemas.openxmlformats.org/spreadsheetml/2006/main" xmlns:r="http://schemas.openxmlformats.org/officeDocument/2006/relationships">
  <dimension ref="A1:L160"/>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5" ht="12.75">
      <c r="A1" s="3">
        <v>1976</v>
      </c>
      <c r="C1" s="3" t="s">
        <v>34</v>
      </c>
      <c r="E1" s="41" t="s">
        <v>345</v>
      </c>
    </row>
    <row r="2" spans="1:5" ht="12.75">
      <c r="A2" s="50" t="s">
        <v>2</v>
      </c>
      <c r="B2" s="36" t="s">
        <v>222</v>
      </c>
      <c r="C2" s="42" t="s">
        <v>223</v>
      </c>
      <c r="D2" s="19"/>
      <c r="E2" s="41" t="s">
        <v>57</v>
      </c>
    </row>
    <row r="3" spans="1:5" ht="12.75">
      <c r="A3" s="16"/>
      <c r="C3" s="42" t="s">
        <v>353</v>
      </c>
      <c r="D3" s="19"/>
      <c r="E3">
        <v>1776</v>
      </c>
    </row>
    <row r="4" spans="1:5" ht="12.75">
      <c r="A4" s="16"/>
      <c r="C4" s="19"/>
      <c r="D4" s="19"/>
      <c r="E4" s="43" t="s">
        <v>15</v>
      </c>
    </row>
    <row r="5" spans="1:5" ht="12.75">
      <c r="A5">
        <v>0</v>
      </c>
      <c r="B5" s="17">
        <f>0.3048*38</f>
        <v>11.5824</v>
      </c>
      <c r="C5" s="19" t="s">
        <v>245</v>
      </c>
      <c r="D5" s="19" t="s">
        <v>241</v>
      </c>
      <c r="E5" s="39">
        <v>0.375</v>
      </c>
    </row>
    <row r="6" spans="1:5" ht="12.75">
      <c r="A6">
        <v>8</v>
      </c>
      <c r="B6" s="17">
        <f>0.3048*222</f>
        <v>67.6656</v>
      </c>
      <c r="C6" s="19" t="s">
        <v>293</v>
      </c>
      <c r="D6" s="47" t="s">
        <v>286</v>
      </c>
      <c r="E6" s="39">
        <v>0.3840277777777778</v>
      </c>
    </row>
    <row r="7" spans="1:5" ht="12.75">
      <c r="A7">
        <v>20</v>
      </c>
      <c r="B7" s="17">
        <f>0.3048*197</f>
        <v>60.0456</v>
      </c>
      <c r="C7" s="19" t="s">
        <v>294</v>
      </c>
      <c r="D7" s="47" t="s">
        <v>286</v>
      </c>
      <c r="E7" s="39">
        <v>0.39444444444444443</v>
      </c>
    </row>
    <row r="8" spans="1:5" ht="12.75">
      <c r="A8">
        <v>35</v>
      </c>
      <c r="B8" s="17">
        <f>0.3048*92</f>
        <v>28.041600000000003</v>
      </c>
      <c r="C8" s="19" t="s">
        <v>295</v>
      </c>
      <c r="D8" s="47" t="s">
        <v>286</v>
      </c>
      <c r="E8" s="39">
        <v>0.4083333333333333</v>
      </c>
    </row>
    <row r="9" spans="1:5" ht="12.75">
      <c r="A9">
        <v>43</v>
      </c>
      <c r="B9" s="17">
        <f>0.3048*50</f>
        <v>15.24</v>
      </c>
      <c r="C9" s="19" t="s">
        <v>296</v>
      </c>
      <c r="D9" s="47" t="s">
        <v>286</v>
      </c>
      <c r="E9" s="39">
        <v>0.41388888888888886</v>
      </c>
    </row>
    <row r="10" spans="1:5" ht="12.75">
      <c r="A10">
        <v>59</v>
      </c>
      <c r="B10" s="17">
        <f>0.3048*36</f>
        <v>10.972800000000001</v>
      </c>
      <c r="C10" s="19" t="s">
        <v>247</v>
      </c>
      <c r="D10" s="47" t="s">
        <v>286</v>
      </c>
      <c r="E10" s="39">
        <v>0.4236111111111111</v>
      </c>
    </row>
    <row r="11" spans="1:5" ht="12.75">
      <c r="A11">
        <v>73</v>
      </c>
      <c r="B11" s="17">
        <f>0.3048*339</f>
        <v>103.3272</v>
      </c>
      <c r="C11" s="19" t="s">
        <v>248</v>
      </c>
      <c r="D11" s="47"/>
      <c r="E11" s="39">
        <v>0.4388888888888889</v>
      </c>
    </row>
    <row r="12" spans="1:5" ht="12.75">
      <c r="A12">
        <v>84</v>
      </c>
      <c r="B12" s="17">
        <f>0.3048*300</f>
        <v>91.44</v>
      </c>
      <c r="C12" s="19" t="s">
        <v>297</v>
      </c>
      <c r="D12" s="47" t="s">
        <v>286</v>
      </c>
      <c r="E12" s="39">
        <v>0.44513888888888886</v>
      </c>
    </row>
    <row r="13" spans="1:5" ht="12.75">
      <c r="A13">
        <v>98</v>
      </c>
      <c r="B13" s="17">
        <f>0.3048*246</f>
        <v>74.9808</v>
      </c>
      <c r="C13" t="s">
        <v>298</v>
      </c>
      <c r="D13" s="47" t="s">
        <v>286</v>
      </c>
      <c r="E13" s="39">
        <v>0.4534722222222222</v>
      </c>
    </row>
    <row r="14" spans="1:5" ht="12.75">
      <c r="A14">
        <v>107</v>
      </c>
      <c r="B14" s="17">
        <f>0.3048*236</f>
        <v>71.9328</v>
      </c>
      <c r="C14" t="s">
        <v>299</v>
      </c>
      <c r="D14" s="47" t="s">
        <v>286</v>
      </c>
      <c r="E14" s="39">
        <v>0.45625</v>
      </c>
    </row>
    <row r="15" spans="1:5" ht="12.75">
      <c r="A15">
        <v>115</v>
      </c>
      <c r="B15" s="17">
        <f>0.3048*232</f>
        <v>70.7136</v>
      </c>
      <c r="C15" t="s">
        <v>300</v>
      </c>
      <c r="D15" s="47" t="s">
        <v>286</v>
      </c>
      <c r="E15" s="39">
        <v>0.46458333333333335</v>
      </c>
    </row>
    <row r="16" spans="1:5" ht="12.75">
      <c r="A16">
        <v>123</v>
      </c>
      <c r="B16" s="17">
        <f>0.3048*175</f>
        <v>53.34</v>
      </c>
      <c r="C16" t="s">
        <v>301</v>
      </c>
      <c r="D16" s="47" t="s">
        <v>286</v>
      </c>
      <c r="E16" s="39">
        <v>0.4666666666666667</v>
      </c>
    </row>
    <row r="17" spans="1:5" ht="12.75">
      <c r="A17">
        <v>128</v>
      </c>
      <c r="B17" s="17">
        <f>0.3048*236</f>
        <v>71.9328</v>
      </c>
      <c r="C17" t="s">
        <v>302</v>
      </c>
      <c r="D17" s="47" t="s">
        <v>286</v>
      </c>
      <c r="E17" s="39">
        <v>0.4722222222222222</v>
      </c>
    </row>
    <row r="18" spans="1:5" ht="12.75">
      <c r="A18">
        <v>142</v>
      </c>
      <c r="B18" s="17">
        <f>0.3048*246</f>
        <v>74.9808</v>
      </c>
      <c r="C18" t="s">
        <v>303</v>
      </c>
      <c r="D18" s="47" t="s">
        <v>286</v>
      </c>
      <c r="E18" s="39">
        <v>0.48055555555555557</v>
      </c>
    </row>
    <row r="19" spans="1:5" ht="12.75">
      <c r="A19">
        <v>153</v>
      </c>
      <c r="B19" s="17">
        <f>0.3048*282</f>
        <v>85.95360000000001</v>
      </c>
      <c r="C19" t="s">
        <v>305</v>
      </c>
      <c r="D19" s="47" t="s">
        <v>286</v>
      </c>
      <c r="E19" s="39">
        <v>0.4875</v>
      </c>
    </row>
    <row r="20" spans="1:5" ht="12.75">
      <c r="A20">
        <v>163</v>
      </c>
      <c r="B20" s="17">
        <f>0.3048*328</f>
        <v>99.9744</v>
      </c>
      <c r="C20" t="s">
        <v>307</v>
      </c>
      <c r="D20" s="47" t="s">
        <v>286</v>
      </c>
      <c r="E20" s="39">
        <v>0.4930555555555556</v>
      </c>
    </row>
    <row r="21" spans="1:5" ht="12.75">
      <c r="A21">
        <v>181</v>
      </c>
      <c r="B21" s="17">
        <f>0.3048*354</f>
        <v>107.89920000000001</v>
      </c>
      <c r="C21" s="19" t="s">
        <v>249</v>
      </c>
      <c r="D21" s="19"/>
      <c r="E21" s="39">
        <v>0.5055555555555555</v>
      </c>
    </row>
    <row r="22" spans="1:5" ht="12.75">
      <c r="A22">
        <v>196</v>
      </c>
      <c r="B22" s="17">
        <f>0.3048*461</f>
        <v>140.5128</v>
      </c>
      <c r="C22" s="19" t="s">
        <v>309</v>
      </c>
      <c r="D22" s="47" t="s">
        <v>286</v>
      </c>
      <c r="E22" s="39">
        <v>0.5173611111111112</v>
      </c>
    </row>
    <row r="23" spans="1:5" ht="12.75">
      <c r="A23">
        <v>216</v>
      </c>
      <c r="B23" s="17">
        <f>0.3048*546</f>
        <v>166.4208</v>
      </c>
      <c r="C23" s="19" t="s">
        <v>250</v>
      </c>
      <c r="D23" s="47" t="s">
        <v>286</v>
      </c>
      <c r="E23" s="39">
        <v>0.5319444444444444</v>
      </c>
    </row>
    <row r="24" spans="1:5" ht="12.75">
      <c r="A24">
        <v>231</v>
      </c>
      <c r="B24" s="17">
        <f>0.3048*621</f>
        <v>189.2808</v>
      </c>
      <c r="C24" s="19" t="s">
        <v>310</v>
      </c>
      <c r="D24" s="47" t="s">
        <v>286</v>
      </c>
      <c r="E24" s="39">
        <v>0.54375</v>
      </c>
    </row>
    <row r="25" spans="1:5" ht="12.75">
      <c r="A25">
        <v>240</v>
      </c>
      <c r="B25" s="17">
        <f>0.3048*731</f>
        <v>222.80880000000002</v>
      </c>
      <c r="C25" s="19" t="s">
        <v>311</v>
      </c>
      <c r="D25" s="47" t="s">
        <v>286</v>
      </c>
      <c r="E25" s="39">
        <v>0.5506944444444445</v>
      </c>
    </row>
    <row r="26" spans="1:5" ht="12.75">
      <c r="A26">
        <v>248</v>
      </c>
      <c r="B26" s="17">
        <f>0.3048*879</f>
        <v>267.9192</v>
      </c>
      <c r="C26" s="19" t="s">
        <v>312</v>
      </c>
      <c r="D26" s="47" t="s">
        <v>286</v>
      </c>
      <c r="E26" s="39">
        <v>0.5583333333333333</v>
      </c>
    </row>
    <row r="27" spans="1:5" ht="12.75">
      <c r="A27">
        <v>257</v>
      </c>
      <c r="B27" s="17">
        <f>0.3048*1280</f>
        <v>390.144</v>
      </c>
      <c r="C27" s="19" t="s">
        <v>313</v>
      </c>
      <c r="D27" s="47" t="s">
        <v>286</v>
      </c>
      <c r="E27" s="39">
        <v>0.5673611111111111</v>
      </c>
    </row>
    <row r="28" spans="1:5" ht="12.75">
      <c r="A28">
        <v>269</v>
      </c>
      <c r="B28" s="17">
        <f>0.3048*1688</f>
        <v>514.5024000000001</v>
      </c>
      <c r="C28" s="19" t="s">
        <v>252</v>
      </c>
      <c r="D28" s="47" t="s">
        <v>286</v>
      </c>
      <c r="E28" s="39">
        <v>0.5798611111111112</v>
      </c>
    </row>
    <row r="29" spans="1:5" ht="12.75">
      <c r="A29">
        <v>281</v>
      </c>
      <c r="B29" s="17">
        <f>0.3048*1456</f>
        <v>443.78880000000004</v>
      </c>
      <c r="C29" t="s">
        <v>314</v>
      </c>
      <c r="D29" s="47" t="s">
        <v>286</v>
      </c>
      <c r="E29" s="39">
        <v>0.59375</v>
      </c>
    </row>
    <row r="30" spans="1:5" ht="12.75">
      <c r="A30">
        <v>294</v>
      </c>
      <c r="B30" s="17">
        <f>0.3048*1954</f>
        <v>595.5792</v>
      </c>
      <c r="C30" t="s">
        <v>315</v>
      </c>
      <c r="D30" s="47" t="s">
        <v>286</v>
      </c>
      <c r="E30" s="39">
        <v>0.6041666666666666</v>
      </c>
    </row>
    <row r="31" spans="1:5" ht="12.75">
      <c r="A31">
        <v>306</v>
      </c>
      <c r="B31" s="17">
        <f>0.3048*2127</f>
        <v>648.3096</v>
      </c>
      <c r="C31" t="s">
        <v>253</v>
      </c>
      <c r="D31" s="47" t="s">
        <v>286</v>
      </c>
      <c r="E31" s="39">
        <v>0.6145833333333334</v>
      </c>
    </row>
    <row r="32" spans="1:5" ht="12.75">
      <c r="A32">
        <v>319</v>
      </c>
      <c r="B32" s="17">
        <f>0.3048*2337</f>
        <v>712.3176000000001</v>
      </c>
      <c r="C32" t="s">
        <v>125</v>
      </c>
      <c r="D32" s="47" t="s">
        <v>286</v>
      </c>
      <c r="E32" s="39">
        <v>0.6229166666666667</v>
      </c>
    </row>
    <row r="33" spans="1:5" ht="12.75">
      <c r="A33">
        <v>330</v>
      </c>
      <c r="B33" s="17">
        <f>0.3048*2212</f>
        <v>674.2176000000001</v>
      </c>
      <c r="C33" t="s">
        <v>254</v>
      </c>
      <c r="D33" s="47"/>
      <c r="E33" s="39">
        <v>0.63125</v>
      </c>
    </row>
    <row r="34" spans="1:5" ht="12.75">
      <c r="A34">
        <v>342</v>
      </c>
      <c r="B34" s="17">
        <f>0.3048*2056</f>
        <v>626.6688</v>
      </c>
      <c r="C34" s="19" t="s">
        <v>316</v>
      </c>
      <c r="D34" s="47" t="s">
        <v>286</v>
      </c>
      <c r="E34" s="39">
        <v>0.6409722222222223</v>
      </c>
    </row>
    <row r="35" spans="1:5" ht="12.75">
      <c r="A35">
        <v>354</v>
      </c>
      <c r="B35" s="17">
        <f>0.3048*1957</f>
        <v>596.4936</v>
      </c>
      <c r="C35" t="s">
        <v>317</v>
      </c>
      <c r="D35" s="47" t="s">
        <v>286</v>
      </c>
      <c r="E35" s="39">
        <v>0.6513888888888889</v>
      </c>
    </row>
    <row r="36" spans="1:5" ht="12.75">
      <c r="A36">
        <v>369</v>
      </c>
      <c r="B36" s="17">
        <f>0.3048*1890</f>
        <v>576.072</v>
      </c>
      <c r="C36" t="s">
        <v>318</v>
      </c>
      <c r="D36" s="47" t="s">
        <v>286</v>
      </c>
      <c r="E36" s="39">
        <v>0.6645833333333333</v>
      </c>
    </row>
    <row r="37" spans="1:5" ht="12.75">
      <c r="A37">
        <v>376</v>
      </c>
      <c r="B37" s="17">
        <f>0.3048*1732</f>
        <v>527.9136</v>
      </c>
      <c r="C37" s="39" t="s">
        <v>255</v>
      </c>
      <c r="D37" s="47"/>
      <c r="E37" s="39">
        <v>0.675</v>
      </c>
    </row>
    <row r="38" spans="1:5" ht="12.75">
      <c r="A38">
        <v>388</v>
      </c>
      <c r="B38" s="17">
        <f>0.3048*1432</f>
        <v>436.47360000000003</v>
      </c>
      <c r="C38" t="s">
        <v>319</v>
      </c>
      <c r="D38" s="47" t="s">
        <v>286</v>
      </c>
      <c r="E38" s="39">
        <v>0.6923611111111111</v>
      </c>
    </row>
    <row r="39" spans="1:5" ht="12.75">
      <c r="A39">
        <v>393</v>
      </c>
      <c r="B39" s="17">
        <f>0.3048*1368</f>
        <v>416.9664</v>
      </c>
      <c r="C39" s="19" t="s">
        <v>256</v>
      </c>
      <c r="D39" s="19" t="s">
        <v>246</v>
      </c>
      <c r="E39" s="39">
        <v>0.6979166666666666</v>
      </c>
    </row>
    <row r="40" spans="1:5" ht="12.75">
      <c r="A40">
        <v>393</v>
      </c>
      <c r="B40" s="17">
        <f>0.3048*1368</f>
        <v>416.9664</v>
      </c>
      <c r="C40" s="19" t="s">
        <v>256</v>
      </c>
      <c r="D40" s="19" t="s">
        <v>241</v>
      </c>
      <c r="E40" s="39">
        <v>0.7048611111111112</v>
      </c>
    </row>
    <row r="41" spans="1:5" ht="12.75">
      <c r="A41">
        <v>401</v>
      </c>
      <c r="B41" s="17">
        <f>0.3048*1176</f>
        <v>358.44480000000004</v>
      </c>
      <c r="C41" t="s">
        <v>320</v>
      </c>
      <c r="D41" s="47" t="s">
        <v>286</v>
      </c>
      <c r="E41" s="39">
        <v>0.7118055555555556</v>
      </c>
    </row>
    <row r="42" spans="1:5" ht="12.75">
      <c r="A42">
        <v>413</v>
      </c>
      <c r="B42" s="17">
        <f>0.3048*1006</f>
        <v>306.6288</v>
      </c>
      <c r="C42" t="s">
        <v>321</v>
      </c>
      <c r="D42" s="47" t="s">
        <v>286</v>
      </c>
      <c r="E42" s="39">
        <v>0.7201388888888889</v>
      </c>
    </row>
    <row r="43" spans="1:5" ht="12.75">
      <c r="A43">
        <v>429</v>
      </c>
      <c r="B43" s="17">
        <f>0.3048*810</f>
        <v>246.888</v>
      </c>
      <c r="C43" t="s">
        <v>322</v>
      </c>
      <c r="D43" s="47" t="s">
        <v>286</v>
      </c>
      <c r="E43" s="39">
        <v>0.7305555555555555</v>
      </c>
    </row>
    <row r="44" spans="1:5" ht="12.75">
      <c r="A44">
        <v>448</v>
      </c>
      <c r="B44" s="17">
        <f>0.3048*537</f>
        <v>163.6776</v>
      </c>
      <c r="C44" t="s">
        <v>323</v>
      </c>
      <c r="D44" s="47" t="s">
        <v>286</v>
      </c>
      <c r="E44" s="39">
        <v>0.7423611111111111</v>
      </c>
    </row>
    <row r="45" spans="1:5" ht="12.75">
      <c r="A45">
        <v>462</v>
      </c>
      <c r="B45" s="17">
        <f>0.3048*433</f>
        <v>131.9784</v>
      </c>
      <c r="C45" t="s">
        <v>324</v>
      </c>
      <c r="D45" s="47" t="s">
        <v>286</v>
      </c>
      <c r="E45" s="39">
        <v>0.7506944444444444</v>
      </c>
    </row>
    <row r="46" spans="1:5" ht="12.75">
      <c r="A46">
        <v>479</v>
      </c>
      <c r="B46" s="17">
        <f>0.3048*362</f>
        <v>110.33760000000001</v>
      </c>
      <c r="C46" s="19" t="s">
        <v>257</v>
      </c>
      <c r="D46" s="47"/>
      <c r="E46" s="39">
        <v>0.7618055555555555</v>
      </c>
    </row>
    <row r="47" spans="1:5" ht="12.75">
      <c r="A47">
        <v>484</v>
      </c>
      <c r="B47" s="17">
        <f>0.3048*367</f>
        <v>111.86160000000001</v>
      </c>
      <c r="C47" s="19" t="s">
        <v>325</v>
      </c>
      <c r="D47" s="47" t="s">
        <v>286</v>
      </c>
      <c r="E47" s="39">
        <v>0.76875</v>
      </c>
    </row>
    <row r="48" spans="1:5" ht="12.75">
      <c r="A48">
        <v>493</v>
      </c>
      <c r="B48" s="17">
        <f>0.3048*368</f>
        <v>112.16640000000001</v>
      </c>
      <c r="C48" s="19" t="s">
        <v>326</v>
      </c>
      <c r="D48" s="47" t="s">
        <v>286</v>
      </c>
      <c r="E48" s="39">
        <v>0.7736111111111111</v>
      </c>
    </row>
    <row r="49" spans="1:5" ht="12.75">
      <c r="A49">
        <v>511</v>
      </c>
      <c r="B49" s="17">
        <f>0.3048*368</f>
        <v>112.16640000000001</v>
      </c>
      <c r="C49" s="19" t="s">
        <v>327</v>
      </c>
      <c r="D49" s="47" t="s">
        <v>286</v>
      </c>
      <c r="E49" s="39">
        <v>0.7847222222222222</v>
      </c>
    </row>
    <row r="50" spans="1:5" ht="12.75">
      <c r="A50">
        <v>523</v>
      </c>
      <c r="B50" s="17">
        <f>0.3048*406</f>
        <v>123.7488</v>
      </c>
      <c r="C50" s="19" t="s">
        <v>328</v>
      </c>
      <c r="D50" s="47" t="s">
        <v>286</v>
      </c>
      <c r="E50" s="39">
        <v>0.7923611111111111</v>
      </c>
    </row>
    <row r="51" spans="1:5" ht="12.75">
      <c r="A51">
        <v>541</v>
      </c>
      <c r="B51" s="17">
        <f>0.3048*465</f>
        <v>141.732</v>
      </c>
      <c r="C51" s="19" t="s">
        <v>329</v>
      </c>
      <c r="D51" s="47" t="s">
        <v>286</v>
      </c>
      <c r="E51" s="39">
        <v>0.8034722222222223</v>
      </c>
    </row>
    <row r="52" spans="1:5" ht="12.75">
      <c r="A52">
        <v>550</v>
      </c>
      <c r="B52" s="17">
        <f>0.3048*520</f>
        <v>158.496</v>
      </c>
      <c r="C52" s="19" t="s">
        <v>330</v>
      </c>
      <c r="D52" s="47" t="s">
        <v>286</v>
      </c>
      <c r="E52" s="39">
        <v>0.8104166666666667</v>
      </c>
    </row>
    <row r="53" spans="1:5" ht="12.75">
      <c r="A53">
        <v>561</v>
      </c>
      <c r="B53" s="17">
        <f>0.3048*609</f>
        <v>185.6232</v>
      </c>
      <c r="C53" s="19" t="s">
        <v>331</v>
      </c>
      <c r="D53" s="47" t="s">
        <v>286</v>
      </c>
      <c r="E53" s="39">
        <v>0.8201388888888889</v>
      </c>
    </row>
    <row r="54" spans="1:5" ht="12.75">
      <c r="A54">
        <v>573</v>
      </c>
      <c r="B54" s="17">
        <f>0.3048*448</f>
        <v>136.5504</v>
      </c>
      <c r="C54" s="19" t="s">
        <v>258</v>
      </c>
      <c r="D54" s="19" t="s">
        <v>246</v>
      </c>
      <c r="E54" s="39">
        <v>0.8298611111111112</v>
      </c>
    </row>
    <row r="55" spans="1:3" ht="12.75">
      <c r="A55" s="16"/>
      <c r="C55" s="19" t="s">
        <v>290</v>
      </c>
    </row>
    <row r="56" ht="12.75">
      <c r="C56" s="19" t="s">
        <v>354</v>
      </c>
    </row>
    <row r="57" ht="12.75">
      <c r="E57" s="41" t="s">
        <v>345</v>
      </c>
    </row>
    <row r="58" spans="1:5" ht="12.75">
      <c r="A58" s="50" t="s">
        <v>2</v>
      </c>
      <c r="B58" s="36" t="s">
        <v>222</v>
      </c>
      <c r="C58" s="42" t="s">
        <v>237</v>
      </c>
      <c r="D58" s="19"/>
      <c r="E58" s="41" t="s">
        <v>57</v>
      </c>
    </row>
    <row r="59" spans="1:5" ht="12.75">
      <c r="A59" s="16"/>
      <c r="C59" s="42" t="s">
        <v>353</v>
      </c>
      <c r="D59" s="19"/>
      <c r="E59">
        <v>1775</v>
      </c>
    </row>
    <row r="60" spans="1:5" ht="12.75">
      <c r="A60" s="16"/>
      <c r="C60" s="19"/>
      <c r="D60" s="19"/>
      <c r="E60" s="43" t="s">
        <v>15</v>
      </c>
    </row>
    <row r="61" spans="1:5" ht="12.75">
      <c r="A61" s="17">
        <f>A54-A54</f>
        <v>0</v>
      </c>
      <c r="B61" s="17">
        <f>B54-B54</f>
        <v>0</v>
      </c>
      <c r="C61" s="19" t="s">
        <v>258</v>
      </c>
      <c r="D61" s="19" t="s">
        <v>241</v>
      </c>
      <c r="E61" s="39">
        <v>0.3958333333333333</v>
      </c>
    </row>
    <row r="62" spans="1:5" ht="12.75">
      <c r="A62" s="17">
        <f>A54-A53</f>
        <v>12</v>
      </c>
      <c r="B62" s="17">
        <f>B53</f>
        <v>185.6232</v>
      </c>
      <c r="C62" s="19" t="s">
        <v>331</v>
      </c>
      <c r="D62" s="47" t="s">
        <v>286</v>
      </c>
      <c r="E62" s="39">
        <v>0.40625</v>
      </c>
    </row>
    <row r="63" spans="1:5" ht="12.75">
      <c r="A63" s="17">
        <f>A54-A52</f>
        <v>23</v>
      </c>
      <c r="B63" s="17">
        <f>B52</f>
        <v>158.496</v>
      </c>
      <c r="C63" s="19" t="s">
        <v>330</v>
      </c>
      <c r="D63" s="47" t="s">
        <v>286</v>
      </c>
      <c r="E63" s="39">
        <v>0.4166666666666667</v>
      </c>
    </row>
    <row r="64" spans="1:5" ht="12.75">
      <c r="A64" s="17">
        <f>A54-A51</f>
        <v>32</v>
      </c>
      <c r="B64" s="17">
        <f>B51</f>
        <v>141.732</v>
      </c>
      <c r="C64" s="19" t="s">
        <v>329</v>
      </c>
      <c r="D64" s="47" t="s">
        <v>286</v>
      </c>
      <c r="E64" s="39">
        <v>0.4236111111111111</v>
      </c>
    </row>
    <row r="65" spans="1:5" ht="12.75">
      <c r="A65" s="17">
        <f>A54-A50</f>
        <v>50</v>
      </c>
      <c r="B65" s="17">
        <f>B50</f>
        <v>123.7488</v>
      </c>
      <c r="C65" s="19" t="s">
        <v>328</v>
      </c>
      <c r="D65" s="47" t="s">
        <v>286</v>
      </c>
      <c r="E65" s="39">
        <v>0.4354166666666667</v>
      </c>
    </row>
    <row r="66" spans="1:5" ht="12.75">
      <c r="A66" s="17">
        <f>A54-A49</f>
        <v>62</v>
      </c>
      <c r="B66" s="17">
        <f>B49</f>
        <v>112.16640000000001</v>
      </c>
      <c r="C66" s="19" t="s">
        <v>327</v>
      </c>
      <c r="D66" s="47" t="s">
        <v>286</v>
      </c>
      <c r="E66" s="39">
        <v>0.44305555555555554</v>
      </c>
    </row>
    <row r="67" spans="1:5" ht="12.75">
      <c r="A67" s="17">
        <f>A54-A48</f>
        <v>80</v>
      </c>
      <c r="B67" s="17">
        <f>B48</f>
        <v>112.16640000000001</v>
      </c>
      <c r="C67" s="19" t="s">
        <v>326</v>
      </c>
      <c r="D67" s="47" t="s">
        <v>286</v>
      </c>
      <c r="E67" s="39">
        <v>0.4548611111111111</v>
      </c>
    </row>
    <row r="68" spans="1:5" ht="12.75">
      <c r="A68" s="17">
        <f>A54-A47</f>
        <v>89</v>
      </c>
      <c r="B68" s="17">
        <f>B47</f>
        <v>111.86160000000001</v>
      </c>
      <c r="C68" s="19" t="s">
        <v>325</v>
      </c>
      <c r="D68" s="47" t="s">
        <v>286</v>
      </c>
      <c r="E68" s="39">
        <v>0.4597222222222222</v>
      </c>
    </row>
    <row r="69" spans="1:5" ht="12.75">
      <c r="A69" s="17">
        <f>A54-A46</f>
        <v>94</v>
      </c>
      <c r="B69" s="17">
        <f>B46</f>
        <v>110.33760000000001</v>
      </c>
      <c r="C69" s="19" t="s">
        <v>257</v>
      </c>
      <c r="D69" s="47"/>
      <c r="E69" s="39">
        <v>0.46805555555555556</v>
      </c>
    </row>
    <row r="70" spans="1:5" ht="12.75">
      <c r="A70" s="17">
        <f>A54-A45</f>
        <v>111</v>
      </c>
      <c r="B70" s="17">
        <f>B45</f>
        <v>131.9784</v>
      </c>
      <c r="C70" t="s">
        <v>324</v>
      </c>
      <c r="D70" s="47" t="s">
        <v>286</v>
      </c>
      <c r="E70" s="39">
        <v>0.4798611111111111</v>
      </c>
    </row>
    <row r="71" spans="1:5" ht="12.75">
      <c r="A71" s="17">
        <f>A54-A44</f>
        <v>125</v>
      </c>
      <c r="B71" s="17">
        <f>B44</f>
        <v>163.6776</v>
      </c>
      <c r="C71" t="s">
        <v>323</v>
      </c>
      <c r="D71" s="47" t="s">
        <v>286</v>
      </c>
      <c r="E71" s="39">
        <v>0.48819444444444443</v>
      </c>
    </row>
    <row r="72" spans="1:5" ht="12.75">
      <c r="A72" s="17">
        <f>A54-A43</f>
        <v>144</v>
      </c>
      <c r="B72" s="17">
        <f>B43</f>
        <v>246.888</v>
      </c>
      <c r="C72" t="s">
        <v>322</v>
      </c>
      <c r="D72" s="47" t="s">
        <v>286</v>
      </c>
      <c r="E72" s="39">
        <v>0.49930555555555556</v>
      </c>
    </row>
    <row r="73" spans="1:5" ht="12.75">
      <c r="A73" s="17">
        <f>A54-A42</f>
        <v>160</v>
      </c>
      <c r="B73" s="17">
        <f>B42</f>
        <v>306.6288</v>
      </c>
      <c r="C73" t="s">
        <v>321</v>
      </c>
      <c r="D73" s="47" t="s">
        <v>286</v>
      </c>
      <c r="E73" s="39">
        <v>0.5104166666666666</v>
      </c>
    </row>
    <row r="74" spans="1:5" ht="12.75">
      <c r="A74" s="17">
        <f>A54-A41</f>
        <v>172</v>
      </c>
      <c r="B74" s="17">
        <f>B41</f>
        <v>358.44480000000004</v>
      </c>
      <c r="C74" t="s">
        <v>320</v>
      </c>
      <c r="D74" s="47" t="s">
        <v>286</v>
      </c>
      <c r="E74" s="39">
        <v>0.5173611111111112</v>
      </c>
    </row>
    <row r="75" spans="1:5" ht="12.75">
      <c r="A75" s="17">
        <f>A54-A40</f>
        <v>180</v>
      </c>
      <c r="B75" s="17">
        <f>B40</f>
        <v>416.9664</v>
      </c>
      <c r="C75" s="19" t="s">
        <v>256</v>
      </c>
      <c r="D75" s="19" t="s">
        <v>246</v>
      </c>
      <c r="E75" s="39">
        <v>0.5243055555555556</v>
      </c>
    </row>
    <row r="76" spans="1:5" ht="12.75">
      <c r="A76" s="17">
        <f>A54-A39</f>
        <v>180</v>
      </c>
      <c r="B76" s="17">
        <f>B39</f>
        <v>416.9664</v>
      </c>
      <c r="C76" s="19" t="s">
        <v>256</v>
      </c>
      <c r="D76" s="19" t="s">
        <v>241</v>
      </c>
      <c r="E76" s="39">
        <v>0.5277777777777778</v>
      </c>
    </row>
    <row r="77" spans="1:5" ht="12.75">
      <c r="A77" s="17">
        <f>A54-A38</f>
        <v>185</v>
      </c>
      <c r="B77" s="17">
        <f>B38</f>
        <v>436.47360000000003</v>
      </c>
      <c r="C77" t="s">
        <v>319</v>
      </c>
      <c r="D77" s="47" t="s">
        <v>286</v>
      </c>
      <c r="E77" s="39">
        <v>0.5326388888888889</v>
      </c>
    </row>
    <row r="78" spans="1:5" ht="12.75">
      <c r="A78" s="17">
        <f>A54-A37</f>
        <v>197</v>
      </c>
      <c r="B78" s="17">
        <f>B37</f>
        <v>527.9136</v>
      </c>
      <c r="C78" s="39" t="s">
        <v>255</v>
      </c>
      <c r="D78" s="47"/>
      <c r="E78" s="39">
        <v>0.5555555555555556</v>
      </c>
    </row>
    <row r="79" spans="1:5" ht="12.75">
      <c r="A79" s="17">
        <f>A54-A36</f>
        <v>204</v>
      </c>
      <c r="B79" s="17">
        <f>B36</f>
        <v>576.072</v>
      </c>
      <c r="C79" t="s">
        <v>318</v>
      </c>
      <c r="D79" s="47" t="s">
        <v>286</v>
      </c>
      <c r="E79" s="39">
        <v>0.5625</v>
      </c>
    </row>
    <row r="80" spans="1:5" ht="12.75">
      <c r="A80" s="17">
        <f>A54-A35</f>
        <v>219</v>
      </c>
      <c r="B80" s="17">
        <f>B35</f>
        <v>596.4936</v>
      </c>
      <c r="C80" t="s">
        <v>317</v>
      </c>
      <c r="D80" s="47" t="s">
        <v>286</v>
      </c>
      <c r="E80" s="39">
        <v>0.5756944444444444</v>
      </c>
    </row>
    <row r="81" spans="1:5" ht="12.75">
      <c r="A81" s="17">
        <f>A54-A34</f>
        <v>231</v>
      </c>
      <c r="B81" s="17">
        <f>B34</f>
        <v>626.6688</v>
      </c>
      <c r="C81" s="19" t="s">
        <v>316</v>
      </c>
      <c r="D81" s="47" t="s">
        <v>286</v>
      </c>
      <c r="E81" s="39">
        <v>0.5861111111111111</v>
      </c>
    </row>
    <row r="82" spans="1:5" ht="12.75">
      <c r="A82" s="17">
        <f>A54-A33</f>
        <v>243</v>
      </c>
      <c r="B82" s="17">
        <f>B33</f>
        <v>674.2176000000001</v>
      </c>
      <c r="C82" t="s">
        <v>254</v>
      </c>
      <c r="D82" s="47"/>
      <c r="E82" s="39">
        <v>0.5965277777777778</v>
      </c>
    </row>
    <row r="83" spans="1:5" ht="12.75">
      <c r="A83" s="17">
        <f>A54-A32</f>
        <v>254</v>
      </c>
      <c r="B83" s="17">
        <f>B32</f>
        <v>712.3176000000001</v>
      </c>
      <c r="C83" t="s">
        <v>125</v>
      </c>
      <c r="D83" s="47" t="s">
        <v>286</v>
      </c>
      <c r="E83" s="39">
        <v>0.6048611111111111</v>
      </c>
    </row>
    <row r="84" spans="1:5" ht="12.75">
      <c r="A84" s="17">
        <f>A54-A31</f>
        <v>267</v>
      </c>
      <c r="B84" s="17">
        <f>B31</f>
        <v>648.3096</v>
      </c>
      <c r="C84" t="s">
        <v>253</v>
      </c>
      <c r="D84" s="47" t="s">
        <v>286</v>
      </c>
      <c r="E84" s="39">
        <v>0.6145833333333334</v>
      </c>
    </row>
    <row r="85" spans="1:5" ht="12.75">
      <c r="A85" s="17">
        <f>A54-A30</f>
        <v>279</v>
      </c>
      <c r="B85" s="17">
        <f>B30</f>
        <v>595.5792</v>
      </c>
      <c r="C85" t="s">
        <v>315</v>
      </c>
      <c r="D85" s="47" t="s">
        <v>286</v>
      </c>
      <c r="E85" s="39">
        <v>0.625</v>
      </c>
    </row>
    <row r="86" spans="1:5" ht="12.75">
      <c r="A86" s="17">
        <f>A54-A29</f>
        <v>292</v>
      </c>
      <c r="B86" s="17">
        <f>B29</f>
        <v>443.78880000000004</v>
      </c>
      <c r="C86" t="s">
        <v>314</v>
      </c>
      <c r="D86" s="47" t="s">
        <v>286</v>
      </c>
      <c r="E86" s="39">
        <v>0.6354166666666666</v>
      </c>
    </row>
    <row r="87" spans="1:5" ht="12.75">
      <c r="A87" s="17">
        <f>A54-A28</f>
        <v>304</v>
      </c>
      <c r="B87" s="17">
        <f>B28</f>
        <v>514.5024000000001</v>
      </c>
      <c r="C87" s="19" t="s">
        <v>252</v>
      </c>
      <c r="D87" s="47" t="s">
        <v>286</v>
      </c>
      <c r="E87" s="39">
        <v>0.6493055555555556</v>
      </c>
    </row>
    <row r="88" spans="1:5" ht="12.75">
      <c r="A88" s="17">
        <f>A54-A27</f>
        <v>316</v>
      </c>
      <c r="B88" s="17">
        <f>B27</f>
        <v>390.144</v>
      </c>
      <c r="C88" s="19" t="s">
        <v>313</v>
      </c>
      <c r="D88" s="47" t="s">
        <v>286</v>
      </c>
      <c r="E88" s="39">
        <v>0.6597222222222222</v>
      </c>
    </row>
    <row r="89" spans="1:5" ht="12.75">
      <c r="A89" s="17">
        <f>A54-A26</f>
        <v>325</v>
      </c>
      <c r="B89" s="17">
        <f>B26</f>
        <v>267.9192</v>
      </c>
      <c r="C89" s="19" t="s">
        <v>312</v>
      </c>
      <c r="D89" s="47" t="s">
        <v>286</v>
      </c>
      <c r="E89" s="39">
        <v>0.6680555555555555</v>
      </c>
    </row>
    <row r="90" spans="1:5" ht="12.75">
      <c r="A90" s="17">
        <f>A54-A25</f>
        <v>333</v>
      </c>
      <c r="B90" s="17">
        <f>B25</f>
        <v>222.80880000000002</v>
      </c>
      <c r="C90" s="19" t="s">
        <v>311</v>
      </c>
      <c r="D90" s="47" t="s">
        <v>286</v>
      </c>
      <c r="E90" s="39">
        <v>0.675</v>
      </c>
    </row>
    <row r="91" spans="1:5" ht="12.75">
      <c r="A91" s="17">
        <f>A54-A24</f>
        <v>342</v>
      </c>
      <c r="B91" s="17">
        <f>B24</f>
        <v>189.2808</v>
      </c>
      <c r="C91" s="19" t="s">
        <v>310</v>
      </c>
      <c r="D91" s="47" t="s">
        <v>286</v>
      </c>
      <c r="E91" s="39">
        <v>0.6819444444444445</v>
      </c>
    </row>
    <row r="92" spans="1:5" ht="12.75">
      <c r="A92" s="17">
        <f>A54-A23</f>
        <v>357</v>
      </c>
      <c r="B92" s="17">
        <f>B23</f>
        <v>166.4208</v>
      </c>
      <c r="C92" s="19" t="s">
        <v>250</v>
      </c>
      <c r="D92" s="47" t="s">
        <v>286</v>
      </c>
      <c r="E92" s="39">
        <v>0.6944444444444444</v>
      </c>
    </row>
    <row r="93" spans="1:5" ht="12.75">
      <c r="A93" s="17">
        <f>A54-A22</f>
        <v>377</v>
      </c>
      <c r="B93" s="17">
        <f>B22</f>
        <v>140.5128</v>
      </c>
      <c r="C93" s="19" t="s">
        <v>309</v>
      </c>
      <c r="D93" s="47" t="s">
        <v>286</v>
      </c>
      <c r="E93" s="39">
        <v>0.7104166666666667</v>
      </c>
    </row>
    <row r="94" spans="1:5" ht="12.75">
      <c r="A94" s="17">
        <f>A54-A21</f>
        <v>392</v>
      </c>
      <c r="B94" s="17">
        <f>B21</f>
        <v>107.89920000000001</v>
      </c>
      <c r="C94" s="19" t="s">
        <v>249</v>
      </c>
      <c r="D94" s="19"/>
      <c r="E94" s="39">
        <v>0.7236111111111111</v>
      </c>
    </row>
    <row r="95" spans="1:5" ht="12.75">
      <c r="A95" s="17">
        <f>A54-A20</f>
        <v>410</v>
      </c>
      <c r="B95" s="17">
        <f>B20</f>
        <v>99.9744</v>
      </c>
      <c r="C95" t="s">
        <v>307</v>
      </c>
      <c r="D95" s="47" t="s">
        <v>286</v>
      </c>
      <c r="E95" s="39">
        <v>0.7354166666666667</v>
      </c>
    </row>
    <row r="96" spans="1:5" ht="12.75">
      <c r="A96" s="17">
        <f>A54-A19</f>
        <v>420</v>
      </c>
      <c r="B96" s="17">
        <f>B19</f>
        <v>85.95360000000001</v>
      </c>
      <c r="C96" t="s">
        <v>305</v>
      </c>
      <c r="D96" s="47" t="s">
        <v>286</v>
      </c>
      <c r="E96" s="39">
        <v>0.7416666666666667</v>
      </c>
    </row>
    <row r="97" spans="1:5" ht="12.75">
      <c r="A97" s="17">
        <f>A54-A18</f>
        <v>431</v>
      </c>
      <c r="B97" s="17">
        <f>B18</f>
        <v>74.9808</v>
      </c>
      <c r="C97" t="s">
        <v>303</v>
      </c>
      <c r="D97" s="47" t="s">
        <v>286</v>
      </c>
      <c r="E97" s="39">
        <v>0.7486111111111111</v>
      </c>
    </row>
    <row r="98" spans="1:5" ht="12.75">
      <c r="A98" s="17">
        <f>A54-A17</f>
        <v>445</v>
      </c>
      <c r="B98" s="17">
        <f>B17</f>
        <v>71.9328</v>
      </c>
      <c r="C98" t="s">
        <v>302</v>
      </c>
      <c r="D98" s="47" t="s">
        <v>286</v>
      </c>
      <c r="E98" s="39">
        <v>0.7569444444444444</v>
      </c>
    </row>
    <row r="99" spans="1:5" ht="12.75">
      <c r="A99" s="17">
        <f>A54-A16</f>
        <v>450</v>
      </c>
      <c r="B99" s="17">
        <f>B16</f>
        <v>53.34</v>
      </c>
      <c r="C99" t="s">
        <v>301</v>
      </c>
      <c r="D99" s="47" t="s">
        <v>286</v>
      </c>
      <c r="E99" s="39">
        <v>0.7618055555555555</v>
      </c>
    </row>
    <row r="100" spans="1:5" ht="12.75">
      <c r="A100" s="17">
        <f>A54-A15</f>
        <v>458</v>
      </c>
      <c r="B100" s="17">
        <f>B15</f>
        <v>70.7136</v>
      </c>
      <c r="C100" t="s">
        <v>300</v>
      </c>
      <c r="D100" s="47" t="s">
        <v>286</v>
      </c>
      <c r="E100" s="39">
        <v>0.7652777777777777</v>
      </c>
    </row>
    <row r="101" spans="1:5" ht="12.75">
      <c r="A101" s="17">
        <f>A54-A14</f>
        <v>466</v>
      </c>
      <c r="B101" s="17">
        <f>B14</f>
        <v>71.9328</v>
      </c>
      <c r="C101" t="s">
        <v>299</v>
      </c>
      <c r="D101" s="47" t="s">
        <v>286</v>
      </c>
      <c r="E101" s="39">
        <v>0.7694444444444445</v>
      </c>
    </row>
    <row r="102" spans="1:5" ht="12.75">
      <c r="A102" s="17">
        <f>A54-A13</f>
        <v>475</v>
      </c>
      <c r="B102" s="17">
        <f>B13</f>
        <v>74.9808</v>
      </c>
      <c r="C102" t="s">
        <v>298</v>
      </c>
      <c r="D102" s="47" t="s">
        <v>286</v>
      </c>
      <c r="E102" s="39">
        <v>0.7770833333333333</v>
      </c>
    </row>
    <row r="103" spans="1:5" ht="12.75">
      <c r="A103" s="17">
        <f>A54-A12</f>
        <v>489</v>
      </c>
      <c r="B103" s="17">
        <f>B12</f>
        <v>91.44</v>
      </c>
      <c r="C103" s="19" t="s">
        <v>297</v>
      </c>
      <c r="D103" s="47" t="s">
        <v>286</v>
      </c>
      <c r="E103" s="39">
        <v>0.7861111111111111</v>
      </c>
    </row>
    <row r="104" spans="1:5" ht="12.75">
      <c r="A104" s="17">
        <f>A54-A11</f>
        <v>500</v>
      </c>
      <c r="B104" s="17">
        <f>B11</f>
        <v>103.3272</v>
      </c>
      <c r="C104" s="19" t="s">
        <v>248</v>
      </c>
      <c r="D104" s="47"/>
      <c r="E104" s="39">
        <v>0.7930555555555555</v>
      </c>
    </row>
    <row r="105" spans="1:5" ht="12.75">
      <c r="A105" s="17">
        <f>A54-A10</f>
        <v>514</v>
      </c>
      <c r="B105" s="17">
        <f>B10</f>
        <v>10.972800000000001</v>
      </c>
      <c r="C105" s="19" t="s">
        <v>247</v>
      </c>
      <c r="D105" s="47" t="s">
        <v>286</v>
      </c>
      <c r="E105" s="39">
        <v>0.8090277777777778</v>
      </c>
    </row>
    <row r="106" spans="1:5" ht="12.75">
      <c r="A106" s="17">
        <f>A54-A9</f>
        <v>530</v>
      </c>
      <c r="B106" s="17">
        <f>B9</f>
        <v>15.24</v>
      </c>
      <c r="C106" s="19" t="s">
        <v>296</v>
      </c>
      <c r="D106" s="47" t="s">
        <v>286</v>
      </c>
      <c r="E106" s="39">
        <v>0.8194444444444444</v>
      </c>
    </row>
    <row r="107" spans="1:5" ht="12.75">
      <c r="A107" s="17">
        <f>A54-A8</f>
        <v>538</v>
      </c>
      <c r="B107" s="17">
        <f>B8</f>
        <v>28.041600000000003</v>
      </c>
      <c r="C107" s="19" t="s">
        <v>295</v>
      </c>
      <c r="D107" s="47" t="s">
        <v>286</v>
      </c>
      <c r="E107" s="39">
        <v>0.825</v>
      </c>
    </row>
    <row r="108" spans="1:5" ht="12.75">
      <c r="A108" s="17">
        <f>A54-A7</f>
        <v>553</v>
      </c>
      <c r="B108" s="17">
        <f>B7</f>
        <v>60.0456</v>
      </c>
      <c r="C108" s="19" t="s">
        <v>294</v>
      </c>
      <c r="D108" s="47" t="s">
        <v>286</v>
      </c>
      <c r="E108" s="39">
        <v>0.8381944444444445</v>
      </c>
    </row>
    <row r="109" spans="1:5" ht="12.75">
      <c r="A109" s="17">
        <f>A54-A6</f>
        <v>565</v>
      </c>
      <c r="B109" s="17">
        <f>B6</f>
        <v>67.6656</v>
      </c>
      <c r="C109" s="19" t="s">
        <v>293</v>
      </c>
      <c r="D109" s="47" t="s">
        <v>286</v>
      </c>
      <c r="E109" s="39">
        <v>0.8486111111111111</v>
      </c>
    </row>
    <row r="110" spans="1:5" ht="12.75">
      <c r="A110" s="17">
        <f>A54-A5</f>
        <v>573</v>
      </c>
      <c r="B110" s="17">
        <f>B5</f>
        <v>11.5824</v>
      </c>
      <c r="C110" s="19" t="s">
        <v>245</v>
      </c>
      <c r="D110" s="19" t="s">
        <v>246</v>
      </c>
      <c r="E110" s="39">
        <v>0.8576388888888888</v>
      </c>
    </row>
    <row r="111" spans="3:4" ht="12.75">
      <c r="C111" s="19" t="s">
        <v>290</v>
      </c>
      <c r="D111" s="19"/>
    </row>
    <row r="112" ht="12.75">
      <c r="C112" s="19" t="s">
        <v>354</v>
      </c>
    </row>
    <row r="114" spans="1:12" ht="12.75">
      <c r="A114" s="50" t="s">
        <v>2</v>
      </c>
      <c r="B114" s="36" t="s">
        <v>222</v>
      </c>
      <c r="C114" s="42" t="s">
        <v>237</v>
      </c>
      <c r="D114" s="19"/>
      <c r="E114" s="57">
        <v>1</v>
      </c>
      <c r="F114" s="57">
        <v>2</v>
      </c>
      <c r="G114" s="57">
        <v>3</v>
      </c>
      <c r="J114" s="57">
        <v>1</v>
      </c>
      <c r="K114" s="57">
        <v>2</v>
      </c>
      <c r="L114" s="57">
        <v>3</v>
      </c>
    </row>
    <row r="115" spans="1:12" ht="12.75">
      <c r="A115" s="16"/>
      <c r="C115" s="42" t="s">
        <v>355</v>
      </c>
      <c r="D115" s="19"/>
      <c r="E115" s="23" t="s">
        <v>356</v>
      </c>
      <c r="F115" s="23" t="s">
        <v>356</v>
      </c>
      <c r="G115" s="63" t="s">
        <v>357</v>
      </c>
      <c r="J115" s="23" t="s">
        <v>32</v>
      </c>
      <c r="K115" s="23" t="s">
        <v>32</v>
      </c>
      <c r="L115" s="23" t="s">
        <v>32</v>
      </c>
    </row>
    <row r="116" spans="1:12" ht="12.75">
      <c r="A116" s="32">
        <v>0</v>
      </c>
      <c r="B116" s="17">
        <f>0.3048*38</f>
        <v>11.5824</v>
      </c>
      <c r="C116" s="19" t="s">
        <v>245</v>
      </c>
      <c r="D116" s="19" t="s">
        <v>241</v>
      </c>
      <c r="E116" s="39">
        <v>0.3784722222222222</v>
      </c>
      <c r="F116" s="39"/>
      <c r="G116" s="39"/>
      <c r="J116" s="39">
        <v>0.4652777777777778</v>
      </c>
      <c r="K116" s="39"/>
      <c r="L116" s="39"/>
    </row>
    <row r="117" spans="1:12" ht="12.75">
      <c r="A117" s="46">
        <v>80.61</v>
      </c>
      <c r="B117" s="17">
        <f>0.3048*33</f>
        <v>10.0584</v>
      </c>
      <c r="C117" s="19" t="s">
        <v>270</v>
      </c>
      <c r="D117" s="19" t="s">
        <v>246</v>
      </c>
      <c r="E117" s="39">
        <v>0.4409722222222222</v>
      </c>
      <c r="F117" s="39"/>
      <c r="G117" s="39"/>
      <c r="J117" s="39">
        <v>0.5277777777777778</v>
      </c>
      <c r="K117" s="39"/>
      <c r="L117" s="39"/>
    </row>
    <row r="118" spans="1:12" ht="12.75">
      <c r="A118" s="46">
        <v>80.61</v>
      </c>
      <c r="B118" s="17">
        <f>0.3048*33</f>
        <v>10.0584</v>
      </c>
      <c r="C118" s="19" t="s">
        <v>270</v>
      </c>
      <c r="D118" s="19" t="s">
        <v>241</v>
      </c>
      <c r="E118" s="39">
        <v>0.4583333333333333</v>
      </c>
      <c r="F118" s="39">
        <v>0.5555555555555556</v>
      </c>
      <c r="G118" s="39">
        <v>0.6805555555555556</v>
      </c>
      <c r="J118" s="39">
        <f>F118</f>
        <v>0.5555555555555556</v>
      </c>
      <c r="K118" s="39">
        <f>G118</f>
        <v>0.6805555555555556</v>
      </c>
      <c r="L118" s="39">
        <v>0.7777777777777778</v>
      </c>
    </row>
    <row r="119" spans="1:12" ht="12.75">
      <c r="A119" s="46">
        <v>100.56</v>
      </c>
      <c r="B119" s="17">
        <f>0.3048*21</f>
        <v>6.4008</v>
      </c>
      <c r="C119" s="19" t="s">
        <v>281</v>
      </c>
      <c r="D119" s="19" t="s">
        <v>246</v>
      </c>
      <c r="E119" s="39">
        <v>0.4826388888888889</v>
      </c>
      <c r="F119" s="39">
        <v>0.5798611111111112</v>
      </c>
      <c r="G119" s="39">
        <v>0.7048611111111112</v>
      </c>
      <c r="J119" s="39">
        <f>F119</f>
        <v>0.5798611111111112</v>
      </c>
      <c r="K119" s="39">
        <f>G119</f>
        <v>0.7048611111111112</v>
      </c>
      <c r="L119" s="39">
        <v>0.8020833333333334</v>
      </c>
    </row>
    <row r="120" spans="1:12" ht="12.75">
      <c r="A120" s="46"/>
      <c r="B120" s="17"/>
      <c r="C120" s="19"/>
      <c r="D120" s="19"/>
      <c r="E120" s="39"/>
      <c r="F120" s="39"/>
      <c r="G120" s="39"/>
      <c r="J120" s="39"/>
      <c r="K120" s="39"/>
      <c r="L120" s="39"/>
    </row>
    <row r="121" ht="12.75">
      <c r="D121" s="19"/>
    </row>
    <row r="122" spans="1:12" ht="12.75">
      <c r="A122" s="50" t="s">
        <v>2</v>
      </c>
      <c r="B122" s="36" t="s">
        <v>222</v>
      </c>
      <c r="C122" s="42" t="s">
        <v>223</v>
      </c>
      <c r="D122" s="19"/>
      <c r="E122" s="57">
        <v>1</v>
      </c>
      <c r="F122" s="57">
        <v>2</v>
      </c>
      <c r="G122" s="57">
        <v>2</v>
      </c>
      <c r="H122" s="57">
        <v>3</v>
      </c>
      <c r="J122" s="57">
        <v>1</v>
      </c>
      <c r="K122" s="57">
        <v>2</v>
      </c>
      <c r="L122" s="57">
        <v>3</v>
      </c>
    </row>
    <row r="123" spans="1:12" ht="12.75">
      <c r="A123" s="16"/>
      <c r="C123" s="42" t="s">
        <v>355</v>
      </c>
      <c r="D123" s="19"/>
      <c r="E123" s="23" t="s">
        <v>356</v>
      </c>
      <c r="F123" s="63" t="s">
        <v>357</v>
      </c>
      <c r="G123" s="23" t="s">
        <v>335</v>
      </c>
      <c r="H123" s="63" t="s">
        <v>357</v>
      </c>
      <c r="J123" s="23" t="s">
        <v>32</v>
      </c>
      <c r="K123" s="23" t="s">
        <v>32</v>
      </c>
      <c r="L123" s="23" t="s">
        <v>32</v>
      </c>
    </row>
    <row r="124" spans="1:12" ht="12.75">
      <c r="A124" s="32">
        <f>A119-A119</f>
        <v>0</v>
      </c>
      <c r="B124" s="17">
        <f>B119</f>
        <v>6.4008</v>
      </c>
      <c r="C124" s="19" t="s">
        <v>281</v>
      </c>
      <c r="D124" s="19" t="s">
        <v>241</v>
      </c>
      <c r="E124" s="39">
        <v>0.5069444444444444</v>
      </c>
      <c r="F124" s="39">
        <v>0.6319444444444444</v>
      </c>
      <c r="G124" s="39">
        <f>F124</f>
        <v>0.6319444444444444</v>
      </c>
      <c r="H124" s="39">
        <v>0.7291666666666666</v>
      </c>
      <c r="J124" s="39">
        <f>F124</f>
        <v>0.6319444444444444</v>
      </c>
      <c r="K124" s="39">
        <f>H124</f>
        <v>0.7291666666666666</v>
      </c>
      <c r="L124" s="39">
        <v>0.8263888888888888</v>
      </c>
    </row>
    <row r="125" spans="1:12" ht="12.75">
      <c r="A125" s="32">
        <f>A119-A118</f>
        <v>19.950000000000003</v>
      </c>
      <c r="B125" s="17">
        <f>B118</f>
        <v>10.0584</v>
      </c>
      <c r="C125" s="19" t="s">
        <v>270</v>
      </c>
      <c r="D125" s="19" t="s">
        <v>246</v>
      </c>
      <c r="E125" s="39">
        <v>0.53125</v>
      </c>
      <c r="F125" s="39">
        <v>0.65625</v>
      </c>
      <c r="G125" s="39">
        <f>F125</f>
        <v>0.65625</v>
      </c>
      <c r="H125" s="39">
        <v>0.7534722222222222</v>
      </c>
      <c r="J125" s="39">
        <f>F125</f>
        <v>0.65625</v>
      </c>
      <c r="K125" s="39">
        <f>H125</f>
        <v>0.7534722222222222</v>
      </c>
      <c r="L125" s="39">
        <v>0.8506944444444444</v>
      </c>
    </row>
    <row r="126" spans="1:12" ht="12.75">
      <c r="A126" s="32">
        <f>A125</f>
        <v>19.950000000000003</v>
      </c>
      <c r="B126" s="48">
        <f>B125</f>
        <v>10.0584</v>
      </c>
      <c r="C126" s="19" t="s">
        <v>270</v>
      </c>
      <c r="D126" s="19" t="s">
        <v>241</v>
      </c>
      <c r="E126" s="39"/>
      <c r="F126" s="39"/>
      <c r="G126" s="39">
        <v>0.6631944444444444</v>
      </c>
      <c r="H126" s="39">
        <v>0.7604166666666666</v>
      </c>
      <c r="J126" s="39"/>
      <c r="K126" s="39"/>
      <c r="L126" s="39">
        <v>0.8576388888888888</v>
      </c>
    </row>
    <row r="127" spans="1:12" ht="12.75">
      <c r="A127" s="32">
        <f>A119-A116</f>
        <v>100.56</v>
      </c>
      <c r="B127" s="17">
        <f>B116</f>
        <v>11.5824</v>
      </c>
      <c r="C127" s="19" t="s">
        <v>245</v>
      </c>
      <c r="D127" s="19" t="s">
        <v>246</v>
      </c>
      <c r="E127" s="39"/>
      <c r="F127" s="39"/>
      <c r="G127" s="39">
        <v>0.7291666666666666</v>
      </c>
      <c r="H127" s="39">
        <v>0.8229166666666666</v>
      </c>
      <c r="J127" s="39"/>
      <c r="K127" s="39"/>
      <c r="L127" s="39">
        <v>0.9201388888888888</v>
      </c>
    </row>
    <row r="128" ht="12.75">
      <c r="C128" s="19"/>
    </row>
    <row r="130" spans="1:5" ht="12.75">
      <c r="A130" s="3">
        <v>1976</v>
      </c>
      <c r="C130" s="35" t="s">
        <v>221</v>
      </c>
      <c r="E130" s="36"/>
    </row>
    <row r="131" spans="1:3" ht="12.75">
      <c r="A131" s="36" t="s">
        <v>2</v>
      </c>
      <c r="B131" s="36" t="s">
        <v>222</v>
      </c>
      <c r="C131" s="35" t="s">
        <v>223</v>
      </c>
    </row>
    <row r="132" spans="3:5" ht="12.75">
      <c r="C132" s="35" t="s">
        <v>224</v>
      </c>
      <c r="E132" s="38"/>
    </row>
    <row r="133" spans="1:5" ht="12.75">
      <c r="A133" s="18">
        <v>0</v>
      </c>
      <c r="B133" s="18">
        <v>0</v>
      </c>
      <c r="C133" t="s">
        <v>225</v>
      </c>
      <c r="D133" t="s">
        <v>241</v>
      </c>
      <c r="E133" t="s">
        <v>226</v>
      </c>
    </row>
    <row r="134" spans="1:5" ht="12.75">
      <c r="A134" s="18">
        <v>2.73</v>
      </c>
      <c r="B134" s="18">
        <v>0</v>
      </c>
      <c r="C134" t="s">
        <v>227</v>
      </c>
      <c r="E134" s="39"/>
    </row>
    <row r="135" spans="1:5" ht="12.75">
      <c r="A135" s="18">
        <v>31.83</v>
      </c>
      <c r="B135" s="18">
        <f>0.3048*2885</f>
        <v>879.3480000000001</v>
      </c>
      <c r="C135" t="s">
        <v>228</v>
      </c>
      <c r="E135" s="40"/>
    </row>
    <row r="136" spans="1:5" ht="12.75">
      <c r="A136" s="18">
        <v>52.13</v>
      </c>
      <c r="B136" s="18">
        <f>0.3048*2916</f>
        <v>888.7968000000001</v>
      </c>
      <c r="C136" t="s">
        <v>229</v>
      </c>
      <c r="E136" s="40"/>
    </row>
    <row r="137" spans="1:5" ht="12.75">
      <c r="A137" s="18">
        <v>64.33</v>
      </c>
      <c r="B137" s="18">
        <f>0.3048*2158</f>
        <v>657.7584</v>
      </c>
      <c r="C137" t="s">
        <v>230</v>
      </c>
      <c r="E137" s="37"/>
    </row>
    <row r="138" spans="1:5" ht="12.75">
      <c r="A138" s="18">
        <v>107.63</v>
      </c>
      <c r="B138" s="18">
        <f>0.3048*2164</f>
        <v>659.5872</v>
      </c>
      <c r="C138" t="s">
        <v>116</v>
      </c>
      <c r="E138" s="40"/>
    </row>
    <row r="139" spans="1:5" ht="12.75">
      <c r="A139" s="18">
        <v>176.83</v>
      </c>
      <c r="B139" s="18">
        <f>0.3048*2079</f>
        <v>633.6792</v>
      </c>
      <c r="C139" t="s">
        <v>231</v>
      </c>
      <c r="D139" t="s">
        <v>246</v>
      </c>
      <c r="E139" s="40"/>
    </row>
    <row r="140" ht="12.75">
      <c r="C140" t="s">
        <v>232</v>
      </c>
    </row>
    <row r="141" ht="12.75">
      <c r="C141" t="s">
        <v>233</v>
      </c>
    </row>
    <row r="142" ht="12.75">
      <c r="C142" t="s">
        <v>234</v>
      </c>
    </row>
    <row r="143" ht="12.75">
      <c r="C143" t="s">
        <v>235</v>
      </c>
    </row>
    <row r="146" spans="3:5" ht="12.75">
      <c r="C146" s="35" t="s">
        <v>221</v>
      </c>
      <c r="E146" s="36"/>
    </row>
    <row r="147" spans="3:5" ht="12.75">
      <c r="C147" s="35"/>
      <c r="E147" s="36"/>
    </row>
    <row r="148" spans="1:3" ht="12.75">
      <c r="A148" s="36" t="s">
        <v>2</v>
      </c>
      <c r="B148" s="36" t="s">
        <v>222</v>
      </c>
      <c r="C148" s="35" t="s">
        <v>237</v>
      </c>
    </row>
    <row r="149" spans="3:5" ht="12.75">
      <c r="C149" s="35" t="s">
        <v>224</v>
      </c>
      <c r="E149" s="38"/>
    </row>
    <row r="150" spans="1:5" ht="12.75">
      <c r="A150" s="18">
        <f>A139-A139</f>
        <v>0</v>
      </c>
      <c r="B150" s="18">
        <f>0.3048*2079</f>
        <v>633.6792</v>
      </c>
      <c r="C150" t="s">
        <v>231</v>
      </c>
      <c r="D150" t="s">
        <v>241</v>
      </c>
      <c r="E150" t="s">
        <v>238</v>
      </c>
    </row>
    <row r="151" spans="1:5" ht="12.75">
      <c r="A151" s="34">
        <f>A139-A138</f>
        <v>69.20000000000002</v>
      </c>
      <c r="B151" s="18">
        <f>0.3048*2164</f>
        <v>659.5872</v>
      </c>
      <c r="C151" t="s">
        <v>116</v>
      </c>
      <c r="E151" s="40"/>
    </row>
    <row r="152" spans="1:5" ht="12.75">
      <c r="A152" s="34">
        <f>A139-A137</f>
        <v>112.50000000000001</v>
      </c>
      <c r="B152" s="18">
        <f>0.3048*2158</f>
        <v>657.7584</v>
      </c>
      <c r="C152" t="s">
        <v>230</v>
      </c>
      <c r="E152" s="40"/>
    </row>
    <row r="153" spans="1:5" ht="12.75">
      <c r="A153" s="34">
        <f>A139-A136</f>
        <v>124.70000000000002</v>
      </c>
      <c r="B153" s="18">
        <f>0.3048*2916</f>
        <v>888.7968000000001</v>
      </c>
      <c r="C153" t="s">
        <v>229</v>
      </c>
      <c r="E153" s="40"/>
    </row>
    <row r="154" spans="1:5" ht="12.75">
      <c r="A154" s="34">
        <f>A139-A135</f>
        <v>145</v>
      </c>
      <c r="B154" s="18">
        <f>0.3048*2885</f>
        <v>879.3480000000001</v>
      </c>
      <c r="C154" t="s">
        <v>228</v>
      </c>
      <c r="E154" s="40"/>
    </row>
    <row r="155" spans="1:5" ht="12.75">
      <c r="A155" s="34">
        <f>A139-A134</f>
        <v>174.10000000000002</v>
      </c>
      <c r="B155" s="18">
        <v>0</v>
      </c>
      <c r="C155" t="s">
        <v>227</v>
      </c>
      <c r="D155" t="s">
        <v>246</v>
      </c>
      <c r="E155" s="39"/>
    </row>
    <row r="156" spans="1:5" ht="12.75">
      <c r="A156" s="34">
        <f>A139-A133</f>
        <v>176.83</v>
      </c>
      <c r="B156" s="18">
        <v>0</v>
      </c>
      <c r="C156" t="s">
        <v>225</v>
      </c>
      <c r="D156" t="s">
        <v>246</v>
      </c>
      <c r="E156" s="40"/>
    </row>
    <row r="157" spans="3:5" ht="12.75">
      <c r="C157" t="s">
        <v>239</v>
      </c>
      <c r="E157" s="12"/>
    </row>
    <row r="158" ht="12.75">
      <c r="C158" t="s">
        <v>233</v>
      </c>
    </row>
    <row r="159" ht="12.75">
      <c r="C159" t="s">
        <v>234</v>
      </c>
    </row>
    <row r="160" ht="12.75">
      <c r="C160"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4.xml><?xml version="1.0" encoding="utf-8"?>
<worksheet xmlns="http://schemas.openxmlformats.org/spreadsheetml/2006/main" xmlns:r="http://schemas.openxmlformats.org/officeDocument/2006/relationships">
  <dimension ref="A1:G161"/>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5" ht="12.75">
      <c r="A1" s="3" t="s">
        <v>74</v>
      </c>
      <c r="C1" s="3" t="s">
        <v>34</v>
      </c>
      <c r="E1" s="41" t="s">
        <v>345</v>
      </c>
    </row>
    <row r="2" spans="1:5" ht="12.75">
      <c r="A2" s="50" t="s">
        <v>2</v>
      </c>
      <c r="B2" s="36" t="s">
        <v>222</v>
      </c>
      <c r="C2" s="42" t="s">
        <v>223</v>
      </c>
      <c r="D2" s="19"/>
      <c r="E2" s="41" t="s">
        <v>57</v>
      </c>
    </row>
    <row r="3" spans="1:5" ht="12.75">
      <c r="A3" s="16"/>
      <c r="C3" s="42" t="s">
        <v>358</v>
      </c>
      <c r="D3" s="19"/>
      <c r="E3">
        <v>6</v>
      </c>
    </row>
    <row r="4" spans="1:5" ht="12.75">
      <c r="A4" s="16"/>
      <c r="C4" s="19"/>
      <c r="D4" s="19"/>
      <c r="E4" s="43" t="s">
        <v>351</v>
      </c>
    </row>
    <row r="5" spans="1:5" ht="12.75">
      <c r="A5">
        <v>0</v>
      </c>
      <c r="B5" s="17">
        <f>0.3048*38</f>
        <v>11.5824</v>
      </c>
      <c r="C5" s="19" t="s">
        <v>245</v>
      </c>
      <c r="D5" s="19" t="s">
        <v>241</v>
      </c>
      <c r="E5" s="39">
        <v>0.375</v>
      </c>
    </row>
    <row r="6" spans="1:5" ht="12.75">
      <c r="A6">
        <v>4</v>
      </c>
      <c r="B6" s="17">
        <f>0.3048*40</f>
        <v>12.192</v>
      </c>
      <c r="C6" s="19" t="s">
        <v>292</v>
      </c>
      <c r="D6" s="47" t="s">
        <v>286</v>
      </c>
      <c r="E6" s="39">
        <v>0.38055555555555554</v>
      </c>
    </row>
    <row r="7" spans="1:5" ht="12.75">
      <c r="A7">
        <v>8</v>
      </c>
      <c r="B7" s="17">
        <f>0.3048*222</f>
        <v>67.6656</v>
      </c>
      <c r="C7" s="19" t="s">
        <v>293</v>
      </c>
      <c r="D7" s="47" t="s">
        <v>286</v>
      </c>
      <c r="E7" s="39">
        <v>0.3854166666666667</v>
      </c>
    </row>
    <row r="8" spans="1:5" ht="12.75">
      <c r="A8">
        <v>20</v>
      </c>
      <c r="B8" s="17">
        <f>0.3048*197</f>
        <v>60.0456</v>
      </c>
      <c r="C8" s="19" t="s">
        <v>294</v>
      </c>
      <c r="D8" s="47" t="s">
        <v>286</v>
      </c>
      <c r="E8" s="39">
        <v>0.3958333333333333</v>
      </c>
    </row>
    <row r="9" spans="1:5" ht="12.75">
      <c r="A9">
        <v>35</v>
      </c>
      <c r="B9" s="17">
        <f>0.3048*92</f>
        <v>28.041600000000003</v>
      </c>
      <c r="C9" s="19" t="s">
        <v>295</v>
      </c>
      <c r="D9" s="47" t="s">
        <v>286</v>
      </c>
      <c r="E9" s="39">
        <v>0.4097222222222222</v>
      </c>
    </row>
    <row r="10" spans="1:5" ht="12.75">
      <c r="A10">
        <v>43</v>
      </c>
      <c r="B10" s="17">
        <f>0.3048*50</f>
        <v>15.24</v>
      </c>
      <c r="C10" s="19" t="s">
        <v>296</v>
      </c>
      <c r="D10" s="47" t="s">
        <v>286</v>
      </c>
      <c r="E10" s="39">
        <v>0.4166666666666667</v>
      </c>
    </row>
    <row r="11" spans="1:5" ht="12.75">
      <c r="A11">
        <v>59</v>
      </c>
      <c r="B11" s="17">
        <f>0.3048*36</f>
        <v>10.972800000000001</v>
      </c>
      <c r="C11" s="19" t="s">
        <v>247</v>
      </c>
      <c r="D11" s="47" t="s">
        <v>286</v>
      </c>
      <c r="E11" s="39">
        <v>0.42916666666666664</v>
      </c>
    </row>
    <row r="12" spans="1:5" ht="12.75">
      <c r="A12">
        <v>73</v>
      </c>
      <c r="B12" s="17">
        <f>0.3048*339</f>
        <v>103.3272</v>
      </c>
      <c r="C12" s="19" t="s">
        <v>248</v>
      </c>
      <c r="D12" s="47"/>
      <c r="E12" s="39">
        <v>0.44583333333333336</v>
      </c>
    </row>
    <row r="13" spans="1:5" ht="12.75">
      <c r="A13">
        <v>84</v>
      </c>
      <c r="B13" s="17">
        <f>0.3048*300</f>
        <v>91.44</v>
      </c>
      <c r="C13" s="19" t="s">
        <v>297</v>
      </c>
      <c r="D13" s="47" t="s">
        <v>286</v>
      </c>
      <c r="E13" s="39">
        <v>0.4527777777777778</v>
      </c>
    </row>
    <row r="14" spans="1:5" ht="12.75">
      <c r="A14">
        <v>98</v>
      </c>
      <c r="B14" s="17">
        <f>0.3048*246</f>
        <v>74.9808</v>
      </c>
      <c r="C14" t="s">
        <v>298</v>
      </c>
      <c r="D14" s="47" t="s">
        <v>286</v>
      </c>
      <c r="E14" s="39">
        <v>0.4618055555555556</v>
      </c>
    </row>
    <row r="15" spans="1:5" ht="12.75">
      <c r="A15">
        <v>107</v>
      </c>
      <c r="B15" s="17">
        <f>0.3048*236</f>
        <v>71.9328</v>
      </c>
      <c r="C15" t="s">
        <v>299</v>
      </c>
      <c r="D15" s="47" t="s">
        <v>286</v>
      </c>
      <c r="E15" s="39">
        <v>0.4666666666666667</v>
      </c>
    </row>
    <row r="16" spans="1:5" ht="12.75">
      <c r="A16">
        <v>115</v>
      </c>
      <c r="B16" s="17">
        <f>0.3048*232</f>
        <v>70.7136</v>
      </c>
      <c r="C16" t="s">
        <v>300</v>
      </c>
      <c r="D16" s="47" t="s">
        <v>286</v>
      </c>
      <c r="E16" s="39">
        <v>0.47430555555555554</v>
      </c>
    </row>
    <row r="17" spans="1:5" ht="12.75">
      <c r="A17">
        <v>123</v>
      </c>
      <c r="B17" s="17">
        <f>0.3048*175</f>
        <v>53.34</v>
      </c>
      <c r="C17" t="s">
        <v>301</v>
      </c>
      <c r="D17" s="47" t="s">
        <v>286</v>
      </c>
      <c r="E17" s="39">
        <v>0.4777777777777778</v>
      </c>
    </row>
    <row r="18" spans="1:5" ht="12.75">
      <c r="A18">
        <v>128</v>
      </c>
      <c r="B18" s="17">
        <f>0.3048*236</f>
        <v>71.9328</v>
      </c>
      <c r="C18" t="s">
        <v>302</v>
      </c>
      <c r="D18" s="47" t="s">
        <v>286</v>
      </c>
      <c r="E18" s="39">
        <v>0.48333333333333334</v>
      </c>
    </row>
    <row r="19" spans="1:5" ht="12.75">
      <c r="A19">
        <v>142</v>
      </c>
      <c r="B19" s="17">
        <f>0.3048*246</f>
        <v>74.9808</v>
      </c>
      <c r="C19" t="s">
        <v>303</v>
      </c>
      <c r="D19" s="47" t="s">
        <v>286</v>
      </c>
      <c r="E19" s="39">
        <v>0.49236111111111114</v>
      </c>
    </row>
    <row r="20" spans="1:5" ht="12.75">
      <c r="A20">
        <v>153</v>
      </c>
      <c r="B20" s="17">
        <f>0.3048*282</f>
        <v>85.95360000000001</v>
      </c>
      <c r="C20" t="s">
        <v>305</v>
      </c>
      <c r="D20" s="47" t="s">
        <v>286</v>
      </c>
      <c r="E20" s="39">
        <v>0.5013888888888889</v>
      </c>
    </row>
    <row r="21" spans="1:5" ht="12.75">
      <c r="A21">
        <v>163</v>
      </c>
      <c r="B21" s="17">
        <f>0.3048*328</f>
        <v>99.9744</v>
      </c>
      <c r="C21" t="s">
        <v>307</v>
      </c>
      <c r="D21" s="47" t="s">
        <v>286</v>
      </c>
      <c r="E21" s="39">
        <v>0.5076388888888889</v>
      </c>
    </row>
    <row r="22" spans="1:5" ht="12.75">
      <c r="A22">
        <v>181</v>
      </c>
      <c r="B22" s="17">
        <f>0.3048*354</f>
        <v>107.89920000000001</v>
      </c>
      <c r="C22" s="19" t="s">
        <v>249</v>
      </c>
      <c r="D22" s="19"/>
      <c r="E22" s="39">
        <v>0.5201388888888889</v>
      </c>
    </row>
    <row r="23" spans="1:5" ht="12.75">
      <c r="A23">
        <v>196</v>
      </c>
      <c r="B23" s="17">
        <f>0.3048*461</f>
        <v>140.5128</v>
      </c>
      <c r="C23" s="19" t="s">
        <v>309</v>
      </c>
      <c r="D23" s="47" t="s">
        <v>286</v>
      </c>
      <c r="E23" s="39">
        <v>0.5298611111111111</v>
      </c>
    </row>
    <row r="24" spans="1:5" ht="12.75">
      <c r="A24">
        <v>216</v>
      </c>
      <c r="B24" s="17">
        <f>0.3048*546</f>
        <v>166.4208</v>
      </c>
      <c r="C24" s="19" t="s">
        <v>250</v>
      </c>
      <c r="D24" s="47" t="s">
        <v>286</v>
      </c>
      <c r="E24" s="39">
        <v>0.5472222222222223</v>
      </c>
    </row>
    <row r="25" spans="1:5" ht="12.75">
      <c r="A25">
        <v>231</v>
      </c>
      <c r="B25" s="17">
        <f>0.3048*621</f>
        <v>189.2808</v>
      </c>
      <c r="C25" s="19" t="s">
        <v>310</v>
      </c>
      <c r="D25" s="47" t="s">
        <v>286</v>
      </c>
      <c r="E25" s="39">
        <v>0.5590277777777778</v>
      </c>
    </row>
    <row r="26" spans="1:5" ht="12.75">
      <c r="A26">
        <v>240</v>
      </c>
      <c r="B26" s="17">
        <f>0.3048*731</f>
        <v>222.80880000000002</v>
      </c>
      <c r="C26" s="19" t="s">
        <v>311</v>
      </c>
      <c r="D26" s="47" t="s">
        <v>286</v>
      </c>
      <c r="E26" s="39">
        <v>0.5659722222222222</v>
      </c>
    </row>
    <row r="27" spans="1:5" ht="12.75">
      <c r="A27">
        <v>248</v>
      </c>
      <c r="B27" s="17">
        <f>0.3048*879</f>
        <v>267.9192</v>
      </c>
      <c r="C27" s="19" t="s">
        <v>312</v>
      </c>
      <c r="D27" s="47" t="s">
        <v>286</v>
      </c>
      <c r="E27" s="39">
        <v>0.5736111111111111</v>
      </c>
    </row>
    <row r="28" spans="1:5" ht="12.75">
      <c r="A28">
        <v>257</v>
      </c>
      <c r="B28" s="17">
        <f>0.3048*1280</f>
        <v>390.144</v>
      </c>
      <c r="C28" s="19" t="s">
        <v>313</v>
      </c>
      <c r="D28" s="47" t="s">
        <v>286</v>
      </c>
      <c r="E28" s="39">
        <v>0.5840277777777778</v>
      </c>
    </row>
    <row r="29" spans="1:5" ht="12.75">
      <c r="A29">
        <v>269</v>
      </c>
      <c r="B29" s="17">
        <f>0.3048*1688</f>
        <v>514.5024000000001</v>
      </c>
      <c r="C29" s="19" t="s">
        <v>252</v>
      </c>
      <c r="D29" s="47" t="s">
        <v>286</v>
      </c>
      <c r="E29" s="39">
        <v>0.5993055555555555</v>
      </c>
    </row>
    <row r="30" spans="1:5" ht="12.75">
      <c r="A30">
        <v>281</v>
      </c>
      <c r="B30" s="17">
        <f>0.3048*1456</f>
        <v>443.78880000000004</v>
      </c>
      <c r="C30" t="s">
        <v>314</v>
      </c>
      <c r="D30" s="47" t="s">
        <v>286</v>
      </c>
      <c r="E30" s="39">
        <v>0.6152777777777778</v>
      </c>
    </row>
    <row r="31" spans="1:5" ht="12.75">
      <c r="A31">
        <v>294</v>
      </c>
      <c r="B31" s="17">
        <f>0.3048*1954</f>
        <v>595.5792</v>
      </c>
      <c r="C31" t="s">
        <v>315</v>
      </c>
      <c r="D31" s="47" t="s">
        <v>286</v>
      </c>
      <c r="E31" s="39">
        <v>0.6256944444444444</v>
      </c>
    </row>
    <row r="32" spans="1:5" ht="12.75">
      <c r="A32">
        <v>306</v>
      </c>
      <c r="B32" s="17">
        <f>0.3048*2127</f>
        <v>648.3096</v>
      </c>
      <c r="C32" t="s">
        <v>253</v>
      </c>
      <c r="D32" s="47" t="s">
        <v>286</v>
      </c>
      <c r="E32" s="39">
        <v>0.6347222222222222</v>
      </c>
    </row>
    <row r="33" spans="1:5" ht="12.75">
      <c r="A33">
        <v>319</v>
      </c>
      <c r="B33" s="17">
        <f>0.3048*2337</f>
        <v>712.3176000000001</v>
      </c>
      <c r="C33" t="s">
        <v>125</v>
      </c>
      <c r="D33" s="47" t="s">
        <v>286</v>
      </c>
      <c r="E33" s="39">
        <v>0.6444444444444445</v>
      </c>
    </row>
    <row r="34" spans="1:5" ht="12.75">
      <c r="A34">
        <v>330</v>
      </c>
      <c r="B34" s="17">
        <f>0.3048*2212</f>
        <v>674.2176000000001</v>
      </c>
      <c r="C34" t="s">
        <v>254</v>
      </c>
      <c r="D34" s="47"/>
      <c r="E34" s="39">
        <v>0.6534722222222222</v>
      </c>
    </row>
    <row r="35" spans="1:5" ht="12.75">
      <c r="A35">
        <v>342</v>
      </c>
      <c r="B35" s="17">
        <f>0.3048*2056</f>
        <v>626.6688</v>
      </c>
      <c r="C35" s="19" t="s">
        <v>316</v>
      </c>
      <c r="D35" s="47" t="s">
        <v>286</v>
      </c>
      <c r="E35" s="39">
        <v>0.6638888888888889</v>
      </c>
    </row>
    <row r="36" spans="1:5" ht="12.75">
      <c r="A36">
        <v>354</v>
      </c>
      <c r="B36" s="17">
        <f>0.3048*1957</f>
        <v>596.4936</v>
      </c>
      <c r="C36" t="s">
        <v>317</v>
      </c>
      <c r="D36" s="47" t="s">
        <v>286</v>
      </c>
      <c r="E36" s="39">
        <v>0.6756944444444445</v>
      </c>
    </row>
    <row r="37" spans="1:5" ht="12.75">
      <c r="A37">
        <v>369</v>
      </c>
      <c r="B37" s="17">
        <f>0.3048*1890</f>
        <v>576.072</v>
      </c>
      <c r="C37" t="s">
        <v>318</v>
      </c>
      <c r="D37" s="47" t="s">
        <v>286</v>
      </c>
      <c r="E37" s="39">
        <v>0.6895833333333333</v>
      </c>
    </row>
    <row r="38" spans="1:5" ht="12.75">
      <c r="A38">
        <v>376</v>
      </c>
      <c r="B38" s="17">
        <f>0.3048*1732</f>
        <v>527.9136</v>
      </c>
      <c r="C38" s="39" t="s">
        <v>255</v>
      </c>
      <c r="D38" s="47"/>
      <c r="E38" s="39">
        <v>0.6979166666666666</v>
      </c>
    </row>
    <row r="39" spans="1:5" ht="12.75">
      <c r="A39">
        <v>388</v>
      </c>
      <c r="B39" s="17">
        <f>0.3048*1432</f>
        <v>436.47360000000003</v>
      </c>
      <c r="C39" t="s">
        <v>319</v>
      </c>
      <c r="D39" s="47" t="s">
        <v>286</v>
      </c>
      <c r="E39" s="39">
        <v>0.7180555555555556</v>
      </c>
    </row>
    <row r="40" spans="1:5" ht="12.75">
      <c r="A40">
        <v>393</v>
      </c>
      <c r="B40" s="17">
        <f>0.3048*1368</f>
        <v>416.9664</v>
      </c>
      <c r="C40" s="19" t="s">
        <v>256</v>
      </c>
      <c r="D40" s="19" t="s">
        <v>246</v>
      </c>
      <c r="E40" s="39">
        <v>0.725</v>
      </c>
    </row>
    <row r="41" spans="1:5" ht="12.75">
      <c r="A41">
        <v>393</v>
      </c>
      <c r="B41" s="17">
        <f>0.3048*1368</f>
        <v>416.9664</v>
      </c>
      <c r="C41" s="19" t="s">
        <v>256</v>
      </c>
      <c r="D41" s="19" t="s">
        <v>241</v>
      </c>
      <c r="E41" s="39">
        <v>0.7319444444444444</v>
      </c>
    </row>
    <row r="42" spans="1:5" ht="12.75">
      <c r="A42">
        <v>401</v>
      </c>
      <c r="B42" s="17">
        <f>0.3048*1176</f>
        <v>358.44480000000004</v>
      </c>
      <c r="C42" t="s">
        <v>320</v>
      </c>
      <c r="D42" s="47" t="s">
        <v>286</v>
      </c>
      <c r="E42" s="39">
        <v>0.7388888888888889</v>
      </c>
    </row>
    <row r="43" spans="1:5" ht="12.75">
      <c r="A43">
        <v>413</v>
      </c>
      <c r="B43" s="17">
        <f>0.3048*1006</f>
        <v>306.6288</v>
      </c>
      <c r="C43" t="s">
        <v>321</v>
      </c>
      <c r="D43" s="47" t="s">
        <v>286</v>
      </c>
      <c r="E43" s="39">
        <v>0.7479166666666667</v>
      </c>
    </row>
    <row r="44" spans="1:5" ht="12.75">
      <c r="A44">
        <v>429</v>
      </c>
      <c r="B44" s="17">
        <f>0.3048*810</f>
        <v>246.888</v>
      </c>
      <c r="C44" t="s">
        <v>322</v>
      </c>
      <c r="D44" s="47" t="s">
        <v>286</v>
      </c>
      <c r="E44" s="39">
        <v>0.7583333333333333</v>
      </c>
    </row>
    <row r="45" spans="1:5" ht="12.75">
      <c r="A45">
        <v>448</v>
      </c>
      <c r="B45" s="17">
        <f>0.3048*537</f>
        <v>163.6776</v>
      </c>
      <c r="C45" t="s">
        <v>323</v>
      </c>
      <c r="D45" s="47" t="s">
        <v>286</v>
      </c>
      <c r="E45" s="39">
        <v>0.7722222222222223</v>
      </c>
    </row>
    <row r="46" spans="1:5" ht="12.75">
      <c r="A46">
        <v>462</v>
      </c>
      <c r="B46" s="17">
        <f>0.3048*433</f>
        <v>131.9784</v>
      </c>
      <c r="C46" t="s">
        <v>324</v>
      </c>
      <c r="D46" s="47" t="s">
        <v>286</v>
      </c>
      <c r="E46" s="39">
        <v>0.7826388888888889</v>
      </c>
    </row>
    <row r="47" spans="1:5" ht="12.75">
      <c r="A47">
        <v>479</v>
      </c>
      <c r="B47" s="17">
        <f>0.3048*362</f>
        <v>110.33760000000001</v>
      </c>
      <c r="C47" s="19" t="s">
        <v>257</v>
      </c>
      <c r="D47" s="47"/>
      <c r="E47" s="39">
        <v>0.7965277777777777</v>
      </c>
    </row>
    <row r="48" spans="1:5" ht="12.75">
      <c r="A48">
        <v>484</v>
      </c>
      <c r="B48" s="17">
        <f>0.3048*367</f>
        <v>111.86160000000001</v>
      </c>
      <c r="C48" s="19" t="s">
        <v>325</v>
      </c>
      <c r="D48" s="47" t="s">
        <v>286</v>
      </c>
      <c r="E48" s="39">
        <v>0.8034722222222223</v>
      </c>
    </row>
    <row r="49" spans="1:5" ht="12.75">
      <c r="A49">
        <v>493</v>
      </c>
      <c r="B49" s="17">
        <f>0.3048*368</f>
        <v>112.16640000000001</v>
      </c>
      <c r="C49" s="19" t="s">
        <v>326</v>
      </c>
      <c r="D49" s="47" t="s">
        <v>286</v>
      </c>
      <c r="E49" s="39">
        <v>0.8090277777777778</v>
      </c>
    </row>
    <row r="50" spans="1:5" ht="12.75">
      <c r="A50">
        <v>511</v>
      </c>
      <c r="B50" s="17">
        <f>0.3048*368</f>
        <v>112.16640000000001</v>
      </c>
      <c r="C50" s="19" t="s">
        <v>327</v>
      </c>
      <c r="D50" s="47" t="s">
        <v>286</v>
      </c>
      <c r="E50" s="39">
        <v>0.8201388888888889</v>
      </c>
    </row>
    <row r="51" spans="1:5" ht="12.75">
      <c r="A51">
        <v>523</v>
      </c>
      <c r="B51" s="17">
        <f>0.3048*406</f>
        <v>123.7488</v>
      </c>
      <c r="C51" s="19" t="s">
        <v>328</v>
      </c>
      <c r="D51" s="47" t="s">
        <v>286</v>
      </c>
      <c r="E51" s="39">
        <v>0.8277777777777777</v>
      </c>
    </row>
    <row r="52" spans="1:5" ht="12.75">
      <c r="A52">
        <v>541</v>
      </c>
      <c r="B52" s="17">
        <f>0.3048*465</f>
        <v>141.732</v>
      </c>
      <c r="C52" s="19" t="s">
        <v>329</v>
      </c>
      <c r="D52" s="47" t="s">
        <v>286</v>
      </c>
      <c r="E52" s="39">
        <v>0.8402777777777778</v>
      </c>
    </row>
    <row r="53" spans="1:5" ht="12.75">
      <c r="A53">
        <v>550</v>
      </c>
      <c r="B53" s="17">
        <f>0.3048*520</f>
        <v>158.496</v>
      </c>
      <c r="C53" s="19" t="s">
        <v>330</v>
      </c>
      <c r="D53" s="47" t="s">
        <v>286</v>
      </c>
      <c r="E53" s="39">
        <v>0.8472222222222222</v>
      </c>
    </row>
    <row r="54" spans="1:5" ht="12.75">
      <c r="A54">
        <v>561</v>
      </c>
      <c r="B54" s="17">
        <f>0.3048*609</f>
        <v>185.6232</v>
      </c>
      <c r="C54" s="19" t="s">
        <v>331</v>
      </c>
      <c r="D54" s="47" t="s">
        <v>286</v>
      </c>
      <c r="E54" s="39">
        <v>0.8576388888888888</v>
      </c>
    </row>
    <row r="55" spans="1:5" ht="12.75">
      <c r="A55">
        <v>573</v>
      </c>
      <c r="B55" s="17">
        <f>0.3048*448</f>
        <v>136.5504</v>
      </c>
      <c r="C55" s="19" t="s">
        <v>258</v>
      </c>
      <c r="D55" s="19" t="s">
        <v>246</v>
      </c>
      <c r="E55" s="39">
        <v>0.8715277777777778</v>
      </c>
    </row>
    <row r="56" spans="1:4" ht="12.75">
      <c r="A56" s="16"/>
      <c r="C56" s="19" t="s">
        <v>290</v>
      </c>
      <c r="D56" s="19"/>
    </row>
    <row r="57" ht="12.75">
      <c r="E57" s="41" t="s">
        <v>345</v>
      </c>
    </row>
    <row r="58" spans="1:5" ht="12.75">
      <c r="A58" s="50" t="s">
        <v>2</v>
      </c>
      <c r="B58" s="36" t="s">
        <v>222</v>
      </c>
      <c r="C58" s="42" t="s">
        <v>237</v>
      </c>
      <c r="D58" s="19"/>
      <c r="E58" s="41" t="s">
        <v>57</v>
      </c>
    </row>
    <row r="59" spans="1:5" ht="12.75">
      <c r="A59" s="16"/>
      <c r="C59" s="42" t="s">
        <v>358</v>
      </c>
      <c r="D59" s="19"/>
      <c r="E59">
        <v>5</v>
      </c>
    </row>
    <row r="60" spans="1:5" ht="12.75">
      <c r="A60" s="16"/>
      <c r="C60" s="19"/>
      <c r="D60" s="19"/>
      <c r="E60" s="43" t="s">
        <v>352</v>
      </c>
    </row>
    <row r="61" spans="1:5" ht="12.75">
      <c r="A61" s="17">
        <f>A55-A55</f>
        <v>0</v>
      </c>
      <c r="B61" s="17">
        <f>B55-B55</f>
        <v>0</v>
      </c>
      <c r="C61" s="19" t="s">
        <v>258</v>
      </c>
      <c r="D61" s="19" t="s">
        <v>241</v>
      </c>
      <c r="E61" s="39">
        <v>0.375</v>
      </c>
    </row>
    <row r="62" spans="1:5" ht="12.75">
      <c r="A62" s="17">
        <f>A55-A54</f>
        <v>12</v>
      </c>
      <c r="B62" s="17">
        <f>B54</f>
        <v>185.6232</v>
      </c>
      <c r="C62" s="19" t="s">
        <v>331</v>
      </c>
      <c r="D62" s="47" t="s">
        <v>286</v>
      </c>
      <c r="E62" s="39">
        <v>0.3854166666666667</v>
      </c>
    </row>
    <row r="63" spans="1:5" ht="12.75">
      <c r="A63" s="17">
        <f>A55-A53</f>
        <v>23</v>
      </c>
      <c r="B63" s="17">
        <f>B53</f>
        <v>158.496</v>
      </c>
      <c r="C63" s="19" t="s">
        <v>330</v>
      </c>
      <c r="D63" s="47" t="s">
        <v>286</v>
      </c>
      <c r="E63" s="39">
        <v>0.3958333333333333</v>
      </c>
    </row>
    <row r="64" spans="1:5" ht="12.75">
      <c r="A64" s="17">
        <f>A55-A52</f>
        <v>32</v>
      </c>
      <c r="B64" s="17">
        <f>B52</f>
        <v>141.732</v>
      </c>
      <c r="C64" s="19" t="s">
        <v>329</v>
      </c>
      <c r="D64" s="47" t="s">
        <v>286</v>
      </c>
      <c r="E64" s="39">
        <v>0.4027777777777778</v>
      </c>
    </row>
    <row r="65" spans="1:5" ht="12.75">
      <c r="A65" s="17">
        <f>A55-A51</f>
        <v>50</v>
      </c>
      <c r="B65" s="17">
        <f>B51</f>
        <v>123.7488</v>
      </c>
      <c r="C65" s="19" t="s">
        <v>328</v>
      </c>
      <c r="D65" s="47" t="s">
        <v>286</v>
      </c>
      <c r="E65" s="39">
        <v>0.41458333333333336</v>
      </c>
    </row>
    <row r="66" spans="1:5" ht="12.75">
      <c r="A66" s="17">
        <f>A55-A50</f>
        <v>62</v>
      </c>
      <c r="B66" s="17">
        <f>B50</f>
        <v>112.16640000000001</v>
      </c>
      <c r="C66" s="19" t="s">
        <v>327</v>
      </c>
      <c r="D66" s="47" t="s">
        <v>286</v>
      </c>
      <c r="E66" s="39">
        <v>0.4222222222222222</v>
      </c>
    </row>
    <row r="67" spans="1:5" ht="12.75">
      <c r="A67" s="17">
        <f>A55-A49</f>
        <v>80</v>
      </c>
      <c r="B67" s="17">
        <f>B49</f>
        <v>112.16640000000001</v>
      </c>
      <c r="C67" s="19" t="s">
        <v>326</v>
      </c>
      <c r="D67" s="47" t="s">
        <v>286</v>
      </c>
      <c r="E67" s="39">
        <v>0.43333333333333335</v>
      </c>
    </row>
    <row r="68" spans="1:5" ht="12.75">
      <c r="A68" s="17">
        <f>A55-A48</f>
        <v>89</v>
      </c>
      <c r="B68" s="17">
        <f>B48</f>
        <v>111.86160000000001</v>
      </c>
      <c r="C68" s="19" t="s">
        <v>325</v>
      </c>
      <c r="D68" s="47" t="s">
        <v>286</v>
      </c>
      <c r="E68" s="39">
        <v>0.4388888888888889</v>
      </c>
    </row>
    <row r="69" spans="1:5" ht="12.75">
      <c r="A69" s="17">
        <f>A55-A47</f>
        <v>94</v>
      </c>
      <c r="B69" s="17">
        <f>B47</f>
        <v>110.33760000000001</v>
      </c>
      <c r="C69" s="19" t="s">
        <v>257</v>
      </c>
      <c r="D69" s="47" t="s">
        <v>286</v>
      </c>
      <c r="E69" s="39">
        <v>0.44722222222222224</v>
      </c>
    </row>
    <row r="70" spans="1:5" ht="12.75">
      <c r="A70" s="17">
        <f>A55-A46</f>
        <v>111</v>
      </c>
      <c r="B70" s="17">
        <f>B46</f>
        <v>131.9784</v>
      </c>
      <c r="C70" t="s">
        <v>324</v>
      </c>
      <c r="D70" s="47" t="s">
        <v>286</v>
      </c>
      <c r="E70" s="39">
        <v>0.4576388888888889</v>
      </c>
    </row>
    <row r="71" spans="1:5" ht="12.75">
      <c r="A71" s="17">
        <f>A55-A45</f>
        <v>125</v>
      </c>
      <c r="B71" s="17">
        <f>B45</f>
        <v>163.6776</v>
      </c>
      <c r="C71" t="s">
        <v>323</v>
      </c>
      <c r="D71" s="47" t="s">
        <v>286</v>
      </c>
      <c r="E71" s="39">
        <v>0.46805555555555556</v>
      </c>
    </row>
    <row r="72" spans="1:5" ht="12.75">
      <c r="A72" s="17">
        <f>A55-A44</f>
        <v>144</v>
      </c>
      <c r="B72" s="17">
        <f>B44</f>
        <v>246.888</v>
      </c>
      <c r="C72" t="s">
        <v>322</v>
      </c>
      <c r="D72" s="47" t="s">
        <v>286</v>
      </c>
      <c r="E72" s="39">
        <v>0.48125</v>
      </c>
    </row>
    <row r="73" spans="1:5" ht="12.75">
      <c r="A73" s="17">
        <f>A55-A43</f>
        <v>160</v>
      </c>
      <c r="B73" s="17">
        <f>B43</f>
        <v>306.6288</v>
      </c>
      <c r="C73" t="s">
        <v>321</v>
      </c>
      <c r="D73" s="47" t="s">
        <v>286</v>
      </c>
      <c r="E73" s="39">
        <v>0.49166666666666664</v>
      </c>
    </row>
    <row r="74" spans="1:5" ht="12.75">
      <c r="A74" s="17">
        <f>A55-A42</f>
        <v>172</v>
      </c>
      <c r="B74" s="17">
        <f>B42</f>
        <v>358.44480000000004</v>
      </c>
      <c r="C74" t="s">
        <v>320</v>
      </c>
      <c r="D74" s="47" t="s">
        <v>286</v>
      </c>
      <c r="E74" s="39">
        <v>0.5006944444444444</v>
      </c>
    </row>
    <row r="75" spans="1:5" ht="12.75">
      <c r="A75" s="17">
        <f>A55-A41</f>
        <v>180</v>
      </c>
      <c r="B75" s="17">
        <f>B41</f>
        <v>416.9664</v>
      </c>
      <c r="C75" s="19" t="s">
        <v>256</v>
      </c>
      <c r="D75" s="19" t="s">
        <v>246</v>
      </c>
      <c r="E75" s="39">
        <v>0.50625</v>
      </c>
    </row>
    <row r="76" spans="1:5" ht="12.75">
      <c r="A76" s="17">
        <f>A55-A40</f>
        <v>180</v>
      </c>
      <c r="B76" s="17">
        <f>B40</f>
        <v>416.9664</v>
      </c>
      <c r="C76" s="19" t="s">
        <v>256</v>
      </c>
      <c r="D76" s="19" t="s">
        <v>241</v>
      </c>
      <c r="E76" s="39">
        <v>0.5131944444444444</v>
      </c>
    </row>
    <row r="77" spans="1:5" ht="12.75">
      <c r="A77" s="17">
        <f>A55-A39</f>
        <v>185</v>
      </c>
      <c r="B77" s="17">
        <f>B39</f>
        <v>436.47360000000003</v>
      </c>
      <c r="C77" t="s">
        <v>319</v>
      </c>
      <c r="D77" s="47" t="s">
        <v>286</v>
      </c>
      <c r="E77" s="39">
        <v>0.5201388888888889</v>
      </c>
    </row>
    <row r="78" spans="1:5" ht="12.75">
      <c r="A78" s="17">
        <f>A55-A38</f>
        <v>197</v>
      </c>
      <c r="B78" s="17">
        <f>B38</f>
        <v>527.9136</v>
      </c>
      <c r="C78" s="39" t="s">
        <v>255</v>
      </c>
      <c r="D78" s="47"/>
      <c r="E78" s="39">
        <v>0.5416666666666666</v>
      </c>
    </row>
    <row r="79" spans="1:5" ht="12.75">
      <c r="A79" s="17">
        <f>A55-A37</f>
        <v>204</v>
      </c>
      <c r="B79" s="17">
        <f>B37</f>
        <v>576.072</v>
      </c>
      <c r="C79" t="s">
        <v>318</v>
      </c>
      <c r="D79" s="47" t="s">
        <v>286</v>
      </c>
      <c r="E79" s="39">
        <v>0.5486111111111112</v>
      </c>
    </row>
    <row r="80" spans="1:5" ht="12.75">
      <c r="A80" s="17">
        <f>A55-A36</f>
        <v>219</v>
      </c>
      <c r="B80" s="17">
        <f>B36</f>
        <v>596.4936</v>
      </c>
      <c r="C80" t="s">
        <v>317</v>
      </c>
      <c r="D80" s="47" t="s">
        <v>286</v>
      </c>
      <c r="E80" s="39">
        <v>0.5618055555555556</v>
      </c>
    </row>
    <row r="81" spans="1:5" ht="12.75">
      <c r="A81" s="17">
        <f>A55-A35</f>
        <v>231</v>
      </c>
      <c r="B81" s="17">
        <f>B35</f>
        <v>626.6688</v>
      </c>
      <c r="C81" s="19" t="s">
        <v>316</v>
      </c>
      <c r="D81" s="47" t="s">
        <v>286</v>
      </c>
      <c r="E81" s="39">
        <v>0.5722222222222222</v>
      </c>
    </row>
    <row r="82" spans="1:5" ht="12.75">
      <c r="A82" s="17">
        <f>A55-A34</f>
        <v>243</v>
      </c>
      <c r="B82" s="17">
        <f>B34</f>
        <v>674.2176000000001</v>
      </c>
      <c r="C82" t="s">
        <v>254</v>
      </c>
      <c r="D82" s="47"/>
      <c r="E82" s="39">
        <v>0.5826388888888889</v>
      </c>
    </row>
    <row r="83" spans="1:5" ht="12.75">
      <c r="A83" s="17">
        <f>A55-A33</f>
        <v>254</v>
      </c>
      <c r="B83" s="17">
        <f>B33</f>
        <v>712.3176000000001</v>
      </c>
      <c r="C83" t="s">
        <v>125</v>
      </c>
      <c r="D83" s="47" t="s">
        <v>286</v>
      </c>
      <c r="E83" s="39">
        <v>0.5916666666666667</v>
      </c>
    </row>
    <row r="84" spans="1:5" ht="12.75">
      <c r="A84" s="17">
        <f>A55-A32</f>
        <v>267</v>
      </c>
      <c r="B84" s="17">
        <f>B32</f>
        <v>648.3096</v>
      </c>
      <c r="C84" t="s">
        <v>253</v>
      </c>
      <c r="D84" s="47" t="s">
        <v>286</v>
      </c>
      <c r="E84" s="39">
        <v>0.6006944444444444</v>
      </c>
    </row>
    <row r="85" spans="1:5" ht="12.75">
      <c r="A85" s="17">
        <f>A55-A31</f>
        <v>279</v>
      </c>
      <c r="B85" s="17">
        <f>B31</f>
        <v>595.5792</v>
      </c>
      <c r="C85" t="s">
        <v>315</v>
      </c>
      <c r="D85" s="47" t="s">
        <v>286</v>
      </c>
      <c r="E85" s="39">
        <v>0.6076388888888888</v>
      </c>
    </row>
    <row r="86" spans="1:5" ht="12.75">
      <c r="A86" s="17">
        <f>A55-A30</f>
        <v>292</v>
      </c>
      <c r="B86" s="17">
        <f>B30</f>
        <v>443.78880000000004</v>
      </c>
      <c r="C86" t="s">
        <v>314</v>
      </c>
      <c r="D86" s="47" t="s">
        <v>286</v>
      </c>
      <c r="E86" s="39">
        <v>0.6208333333333333</v>
      </c>
    </row>
    <row r="87" spans="1:5" ht="12.75">
      <c r="A87" s="17">
        <f>A55-A29</f>
        <v>304</v>
      </c>
      <c r="B87" s="17">
        <f>B29</f>
        <v>514.5024000000001</v>
      </c>
      <c r="C87" s="19" t="s">
        <v>252</v>
      </c>
      <c r="D87" s="47" t="s">
        <v>286</v>
      </c>
      <c r="E87" s="39">
        <v>0.6347222222222222</v>
      </c>
    </row>
    <row r="88" spans="1:5" ht="12.75">
      <c r="A88" s="17">
        <f>A55-A28</f>
        <v>316</v>
      </c>
      <c r="B88" s="17">
        <f>B28</f>
        <v>390.144</v>
      </c>
      <c r="C88" s="19" t="s">
        <v>313</v>
      </c>
      <c r="D88" s="47" t="s">
        <v>286</v>
      </c>
      <c r="E88" s="39">
        <v>0.6451388888888889</v>
      </c>
    </row>
    <row r="89" spans="1:5" ht="12.75">
      <c r="A89" s="17">
        <f>A55-A27</f>
        <v>325</v>
      </c>
      <c r="B89" s="17">
        <f>B27</f>
        <v>267.9192</v>
      </c>
      <c r="C89" s="19" t="s">
        <v>312</v>
      </c>
      <c r="D89" s="47" t="s">
        <v>286</v>
      </c>
      <c r="E89" s="39">
        <v>0.6534722222222222</v>
      </c>
    </row>
    <row r="90" spans="1:5" ht="12.75">
      <c r="A90" s="17">
        <f>A55-A26</f>
        <v>333</v>
      </c>
      <c r="B90" s="17">
        <f>B26</f>
        <v>222.80880000000002</v>
      </c>
      <c r="C90" s="19" t="s">
        <v>311</v>
      </c>
      <c r="D90" s="47" t="s">
        <v>286</v>
      </c>
      <c r="E90" s="39">
        <v>0.6604166666666667</v>
      </c>
    </row>
    <row r="91" spans="1:5" ht="12.75">
      <c r="A91" s="17">
        <f>A55-A25</f>
        <v>342</v>
      </c>
      <c r="B91" s="17">
        <f>B25</f>
        <v>189.2808</v>
      </c>
      <c r="C91" s="19" t="s">
        <v>310</v>
      </c>
      <c r="D91" s="47" t="s">
        <v>286</v>
      </c>
      <c r="E91" s="39">
        <v>0.6673611111111111</v>
      </c>
    </row>
    <row r="92" spans="1:5" ht="12.75">
      <c r="A92" s="17">
        <f>A55-A24</f>
        <v>357</v>
      </c>
      <c r="B92" s="17">
        <f>B24</f>
        <v>166.4208</v>
      </c>
      <c r="C92" s="19" t="s">
        <v>250</v>
      </c>
      <c r="D92" s="47" t="s">
        <v>286</v>
      </c>
      <c r="E92" s="39">
        <v>0.6840277777777778</v>
      </c>
    </row>
    <row r="93" spans="1:5" ht="12.75">
      <c r="A93" s="17">
        <f>A55-A23</f>
        <v>377</v>
      </c>
      <c r="B93" s="17">
        <f>B23</f>
        <v>140.5128</v>
      </c>
      <c r="C93" s="19" t="s">
        <v>309</v>
      </c>
      <c r="D93" s="47" t="s">
        <v>286</v>
      </c>
      <c r="E93" s="39">
        <v>0.6979166666666666</v>
      </c>
    </row>
    <row r="94" spans="1:5" ht="12.75">
      <c r="A94" s="17">
        <f>A55-A22</f>
        <v>392</v>
      </c>
      <c r="B94" s="17">
        <f>B22</f>
        <v>107.89920000000001</v>
      </c>
      <c r="C94" s="19" t="s">
        <v>249</v>
      </c>
      <c r="D94" s="19"/>
      <c r="E94" s="39">
        <v>0.7097222222222223</v>
      </c>
    </row>
    <row r="95" spans="1:5" ht="12.75">
      <c r="A95" s="17">
        <f>A55-A21</f>
        <v>410</v>
      </c>
      <c r="B95" s="17">
        <f>B21</f>
        <v>99.9744</v>
      </c>
      <c r="C95" t="s">
        <v>307</v>
      </c>
      <c r="D95" s="47" t="s">
        <v>286</v>
      </c>
      <c r="E95" s="39">
        <v>0.7215277777777778</v>
      </c>
    </row>
    <row r="96" spans="1:7" ht="12.75">
      <c r="A96" s="17">
        <f>A55-A20</f>
        <v>420</v>
      </c>
      <c r="B96" s="17">
        <f>B20</f>
        <v>85.95360000000001</v>
      </c>
      <c r="C96" t="s">
        <v>305</v>
      </c>
      <c r="D96" s="47" t="s">
        <v>286</v>
      </c>
      <c r="E96" s="39">
        <v>0.7284722222222222</v>
      </c>
      <c r="G96" s="32"/>
    </row>
    <row r="97" spans="1:7" ht="12.75">
      <c r="A97" s="17">
        <f>A55-A19</f>
        <v>431</v>
      </c>
      <c r="B97" s="17">
        <f>B19</f>
        <v>74.9808</v>
      </c>
      <c r="C97" t="s">
        <v>303</v>
      </c>
      <c r="D97" s="47" t="s">
        <v>286</v>
      </c>
      <c r="E97" s="39">
        <v>0.7368055555555556</v>
      </c>
      <c r="G97" s="32"/>
    </row>
    <row r="98" spans="1:7" ht="12.75">
      <c r="A98" s="17">
        <f>A55-A18</f>
        <v>445</v>
      </c>
      <c r="B98" s="17">
        <f>B18</f>
        <v>71.9328</v>
      </c>
      <c r="C98" t="s">
        <v>302</v>
      </c>
      <c r="D98" s="47" t="s">
        <v>286</v>
      </c>
      <c r="E98" s="39">
        <v>0.7465277777777778</v>
      </c>
      <c r="G98" s="32"/>
    </row>
    <row r="99" spans="1:7" ht="12.75">
      <c r="A99" s="17">
        <f>A55-A17</f>
        <v>450</v>
      </c>
      <c r="B99" s="17">
        <f>B17</f>
        <v>53.34</v>
      </c>
      <c r="C99" t="s">
        <v>301</v>
      </c>
      <c r="D99" s="47" t="s">
        <v>286</v>
      </c>
      <c r="E99" s="39">
        <v>0.75</v>
      </c>
      <c r="G99" s="32"/>
    </row>
    <row r="100" spans="1:7" ht="12.75">
      <c r="A100" s="17">
        <f>A55-A16</f>
        <v>458</v>
      </c>
      <c r="B100" s="17">
        <f>B16</f>
        <v>70.7136</v>
      </c>
      <c r="C100" t="s">
        <v>300</v>
      </c>
      <c r="D100" s="47" t="s">
        <v>286</v>
      </c>
      <c r="E100" s="39">
        <v>0.7569444444444444</v>
      </c>
      <c r="G100" s="32"/>
    </row>
    <row r="101" spans="1:7" ht="12.75">
      <c r="A101" s="17">
        <f>A55-A15</f>
        <v>466</v>
      </c>
      <c r="B101" s="17">
        <f>B15</f>
        <v>71.9328</v>
      </c>
      <c r="C101" t="s">
        <v>299</v>
      </c>
      <c r="D101" s="47" t="s">
        <v>286</v>
      </c>
      <c r="E101" s="39">
        <v>0.7618055555555555</v>
      </c>
      <c r="G101" s="32"/>
    </row>
    <row r="102" spans="1:7" ht="12.75">
      <c r="A102" s="17">
        <f>A55-A14</f>
        <v>475</v>
      </c>
      <c r="B102" s="17">
        <f>B14</f>
        <v>74.9808</v>
      </c>
      <c r="C102" t="s">
        <v>298</v>
      </c>
      <c r="D102" s="47" t="s">
        <v>286</v>
      </c>
      <c r="E102" s="39">
        <v>0.7694444444444445</v>
      </c>
      <c r="G102" s="34"/>
    </row>
    <row r="103" spans="1:7" ht="12.75">
      <c r="A103" s="17">
        <f>A55-A13</f>
        <v>489</v>
      </c>
      <c r="B103" s="17">
        <f>B13</f>
        <v>91.44</v>
      </c>
      <c r="C103" s="19" t="s">
        <v>297</v>
      </c>
      <c r="D103" s="47" t="s">
        <v>286</v>
      </c>
      <c r="E103" s="39">
        <v>0.7784722222222222</v>
      </c>
      <c r="G103" s="32"/>
    </row>
    <row r="104" spans="1:7" ht="12.75">
      <c r="A104" s="17">
        <f>A55-A12</f>
        <v>500</v>
      </c>
      <c r="B104" s="17">
        <f>B12</f>
        <v>103.3272</v>
      </c>
      <c r="C104" s="19" t="s">
        <v>248</v>
      </c>
      <c r="D104" s="47"/>
      <c r="E104" s="39">
        <v>0.7868055555555555</v>
      </c>
      <c r="G104" s="32"/>
    </row>
    <row r="105" spans="1:7" ht="12.75">
      <c r="A105" s="17">
        <f>A55-A11</f>
        <v>514</v>
      </c>
      <c r="B105" s="17">
        <f>B11</f>
        <v>10.972800000000001</v>
      </c>
      <c r="C105" s="19" t="s">
        <v>247</v>
      </c>
      <c r="D105" s="47" t="s">
        <v>286</v>
      </c>
      <c r="E105" s="39">
        <v>0.8041666666666667</v>
      </c>
      <c r="G105" s="32"/>
    </row>
    <row r="106" spans="1:7" ht="12.75">
      <c r="A106" s="17">
        <f>A55-A10</f>
        <v>530</v>
      </c>
      <c r="B106" s="17">
        <f>B10</f>
        <v>15.24</v>
      </c>
      <c r="C106" s="19" t="s">
        <v>296</v>
      </c>
      <c r="D106" s="47" t="s">
        <v>286</v>
      </c>
      <c r="E106" s="39">
        <v>0.8152777777777778</v>
      </c>
      <c r="G106" s="34"/>
    </row>
    <row r="107" spans="1:7" ht="12.75">
      <c r="A107" s="17">
        <f>A55-A9</f>
        <v>538</v>
      </c>
      <c r="B107" s="17">
        <f>B9</f>
        <v>28.041600000000003</v>
      </c>
      <c r="C107" s="19" t="s">
        <v>295</v>
      </c>
      <c r="D107" s="47" t="s">
        <v>286</v>
      </c>
      <c r="E107" s="39">
        <v>0.8229166666666666</v>
      </c>
      <c r="G107" s="32"/>
    </row>
    <row r="108" spans="1:7" ht="12.75">
      <c r="A108" s="17">
        <f>A55-A8</f>
        <v>553</v>
      </c>
      <c r="B108" s="17">
        <f>B8</f>
        <v>60.0456</v>
      </c>
      <c r="C108" s="19" t="s">
        <v>294</v>
      </c>
      <c r="D108" s="47" t="s">
        <v>286</v>
      </c>
      <c r="E108" s="39">
        <v>0.8368055555555556</v>
      </c>
      <c r="G108" s="32"/>
    </row>
    <row r="109" spans="1:7" ht="12.75">
      <c r="A109" s="17">
        <f>A55-A7</f>
        <v>565</v>
      </c>
      <c r="B109" s="17">
        <f>B7</f>
        <v>67.6656</v>
      </c>
      <c r="C109" s="19" t="s">
        <v>293</v>
      </c>
      <c r="D109" s="47" t="s">
        <v>286</v>
      </c>
      <c r="E109" s="39">
        <v>0.8479166666666667</v>
      </c>
      <c r="G109" s="32"/>
    </row>
    <row r="110" spans="1:7" ht="12.75">
      <c r="A110" s="17">
        <f>A55-A6</f>
        <v>569</v>
      </c>
      <c r="B110" s="17">
        <f>B6</f>
        <v>12.192</v>
      </c>
      <c r="C110" s="19" t="s">
        <v>292</v>
      </c>
      <c r="D110" s="47" t="s">
        <v>286</v>
      </c>
      <c r="E110" s="39">
        <v>0.8513888888888889</v>
      </c>
      <c r="G110" s="32"/>
    </row>
    <row r="111" spans="1:7" ht="12.75">
      <c r="A111" s="17">
        <f>A55-A5</f>
        <v>573</v>
      </c>
      <c r="B111" s="17">
        <f>B5</f>
        <v>11.5824</v>
      </c>
      <c r="C111" s="19" t="s">
        <v>245</v>
      </c>
      <c r="D111" s="19" t="s">
        <v>246</v>
      </c>
      <c r="E111" s="39">
        <v>0.8611111111111112</v>
      </c>
      <c r="G111" s="32"/>
    </row>
    <row r="112" spans="3:7" ht="12.75">
      <c r="C112" s="19" t="s">
        <v>290</v>
      </c>
      <c r="D112" s="19"/>
      <c r="G112" s="18"/>
    </row>
    <row r="115" spans="1:4" ht="12.75">
      <c r="A115" s="50" t="s">
        <v>2</v>
      </c>
      <c r="B115" s="36" t="s">
        <v>222</v>
      </c>
      <c r="C115" s="42" t="s">
        <v>237</v>
      </c>
      <c r="D115" s="19"/>
    </row>
    <row r="116" spans="1:4" ht="12.75">
      <c r="A116" s="16"/>
      <c r="C116" s="42" t="s">
        <v>358</v>
      </c>
      <c r="D116" s="19"/>
    </row>
    <row r="117" spans="1:5" ht="12.75">
      <c r="A117" s="32">
        <v>0</v>
      </c>
      <c r="B117" s="17">
        <f>0.3048*38</f>
        <v>11.5824</v>
      </c>
      <c r="C117" s="19" t="s">
        <v>245</v>
      </c>
      <c r="D117" s="19" t="s">
        <v>241</v>
      </c>
      <c r="E117" t="s">
        <v>238</v>
      </c>
    </row>
    <row r="118" spans="1:6" ht="12.75">
      <c r="A118" s="46">
        <v>80.61</v>
      </c>
      <c r="B118" s="17">
        <f>0.3048*33</f>
        <v>10.0584</v>
      </c>
      <c r="C118" s="19" t="s">
        <v>270</v>
      </c>
      <c r="D118" s="19" t="s">
        <v>246</v>
      </c>
      <c r="F118" s="39"/>
    </row>
    <row r="119" spans="1:6" ht="12.75">
      <c r="A119" s="46">
        <v>80.61</v>
      </c>
      <c r="B119" s="17">
        <f>0.3048*33</f>
        <v>10.0584</v>
      </c>
      <c r="C119" s="19" t="s">
        <v>270</v>
      </c>
      <c r="D119" s="19" t="s">
        <v>241</v>
      </c>
      <c r="F119" s="40"/>
    </row>
    <row r="120" spans="1:6" ht="12.75">
      <c r="A120" s="46">
        <v>100.56</v>
      </c>
      <c r="B120" s="17">
        <f>0.3048*21</f>
        <v>6.4008</v>
      </c>
      <c r="C120" s="19" t="s">
        <v>281</v>
      </c>
      <c r="D120" s="19" t="s">
        <v>246</v>
      </c>
      <c r="F120" s="40"/>
    </row>
    <row r="121" spans="1:6" ht="12.75">
      <c r="A121" s="46"/>
      <c r="B121" s="17"/>
      <c r="C121" s="19"/>
      <c r="D121" s="19"/>
      <c r="F121" s="37"/>
    </row>
    <row r="122" spans="4:6" ht="12.75">
      <c r="D122" s="19"/>
      <c r="F122" s="40"/>
    </row>
    <row r="123" spans="1:6" ht="12.75">
      <c r="A123" s="50" t="s">
        <v>2</v>
      </c>
      <c r="B123" s="36" t="s">
        <v>222</v>
      </c>
      <c r="C123" s="42" t="s">
        <v>223</v>
      </c>
      <c r="D123" s="19"/>
      <c r="F123" s="40"/>
    </row>
    <row r="124" spans="1:4" ht="12.75">
      <c r="A124" s="16"/>
      <c r="C124" s="42" t="s">
        <v>358</v>
      </c>
      <c r="D124" s="19"/>
    </row>
    <row r="125" spans="1:5" ht="12.75">
      <c r="A125" s="32">
        <f>A120-A120</f>
        <v>0</v>
      </c>
      <c r="B125" s="17">
        <f>B120</f>
        <v>6.4008</v>
      </c>
      <c r="C125" s="19" t="s">
        <v>281</v>
      </c>
      <c r="D125" s="19" t="s">
        <v>241</v>
      </c>
      <c r="E125" t="s">
        <v>226</v>
      </c>
    </row>
    <row r="126" spans="1:4" ht="12.75">
      <c r="A126" s="32">
        <f>A120-A119</f>
        <v>19.950000000000003</v>
      </c>
      <c r="B126" s="17">
        <f>B119</f>
        <v>10.0584</v>
      </c>
      <c r="C126" s="19" t="s">
        <v>270</v>
      </c>
      <c r="D126" s="19" t="s">
        <v>246</v>
      </c>
    </row>
    <row r="127" spans="1:4" ht="12.75">
      <c r="A127" s="32">
        <f>A126</f>
        <v>19.950000000000003</v>
      </c>
      <c r="B127" s="48">
        <f>B126</f>
        <v>10.0584</v>
      </c>
      <c r="C127" s="19" t="s">
        <v>270</v>
      </c>
      <c r="D127" s="19" t="s">
        <v>241</v>
      </c>
    </row>
    <row r="128" spans="1:4" ht="12.75">
      <c r="A128" s="32">
        <f>A120-A117</f>
        <v>100.56</v>
      </c>
      <c r="B128" s="17">
        <f>B117</f>
        <v>11.5824</v>
      </c>
      <c r="C128" s="19" t="s">
        <v>245</v>
      </c>
      <c r="D128" s="19" t="s">
        <v>246</v>
      </c>
    </row>
    <row r="129" ht="12.75">
      <c r="C129" s="19"/>
    </row>
    <row r="130" ht="12.75">
      <c r="F130" s="36"/>
    </row>
    <row r="131" spans="1:6" ht="12.75">
      <c r="A131" s="3" t="s">
        <v>74</v>
      </c>
      <c r="C131" s="35" t="s">
        <v>221</v>
      </c>
      <c r="E131" s="36"/>
      <c r="F131" s="36"/>
    </row>
    <row r="132" spans="1:3" ht="12.75">
      <c r="A132" s="36" t="s">
        <v>2</v>
      </c>
      <c r="B132" s="36" t="s">
        <v>222</v>
      </c>
      <c r="C132" s="35" t="s">
        <v>223</v>
      </c>
    </row>
    <row r="133" spans="3:6" ht="12.75">
      <c r="C133" s="35" t="s">
        <v>266</v>
      </c>
      <c r="E133" s="38"/>
      <c r="F133" s="38"/>
    </row>
    <row r="134" spans="1:5" ht="12.75">
      <c r="A134" s="18">
        <v>0</v>
      </c>
      <c r="B134" s="18">
        <v>0</v>
      </c>
      <c r="C134" t="s">
        <v>225</v>
      </c>
      <c r="D134" t="s">
        <v>241</v>
      </c>
      <c r="E134" t="s">
        <v>226</v>
      </c>
    </row>
    <row r="135" spans="1:5" ht="12.75">
      <c r="A135" s="18">
        <v>2.73</v>
      </c>
      <c r="B135" s="18">
        <v>0</v>
      </c>
      <c r="C135" t="s">
        <v>227</v>
      </c>
      <c r="E135" s="39"/>
    </row>
    <row r="136" spans="1:5" ht="12.75">
      <c r="A136" s="18">
        <v>31.83</v>
      </c>
      <c r="B136" s="18">
        <f>0.3048*2885</f>
        <v>879.3480000000001</v>
      </c>
      <c r="C136" t="s">
        <v>228</v>
      </c>
      <c r="E136" s="40"/>
    </row>
    <row r="137" spans="1:5" ht="12.75">
      <c r="A137" s="18">
        <v>52.13</v>
      </c>
      <c r="B137" s="18">
        <f>0.3048*2916</f>
        <v>888.7968000000001</v>
      </c>
      <c r="C137" t="s">
        <v>229</v>
      </c>
      <c r="E137" s="40"/>
    </row>
    <row r="138" spans="1:5" ht="12.75">
      <c r="A138" s="18">
        <v>64.33</v>
      </c>
      <c r="B138" s="18">
        <f>0.3048*2158</f>
        <v>657.7584</v>
      </c>
      <c r="C138" t="s">
        <v>230</v>
      </c>
      <c r="E138" s="37"/>
    </row>
    <row r="139" spans="1:5" ht="12.75">
      <c r="A139" s="18">
        <v>107.63</v>
      </c>
      <c r="B139" s="18">
        <f>0.3048*2164</f>
        <v>659.5872</v>
      </c>
      <c r="C139" t="s">
        <v>116</v>
      </c>
      <c r="E139" s="40"/>
    </row>
    <row r="140" spans="1:5" ht="12.75">
      <c r="A140" s="18">
        <v>176.83</v>
      </c>
      <c r="B140" s="18">
        <f>0.3048*2079</f>
        <v>633.6792</v>
      </c>
      <c r="C140" t="s">
        <v>231</v>
      </c>
      <c r="D140" t="s">
        <v>246</v>
      </c>
      <c r="E140" s="40"/>
    </row>
    <row r="141" ht="12.75">
      <c r="C141" t="s">
        <v>232</v>
      </c>
    </row>
    <row r="142" ht="12.75">
      <c r="C142" t="s">
        <v>233</v>
      </c>
    </row>
    <row r="143" ht="12.75">
      <c r="C143" t="s">
        <v>234</v>
      </c>
    </row>
    <row r="144" ht="12.75">
      <c r="C144" t="s">
        <v>235</v>
      </c>
    </row>
    <row r="147" spans="3:5" ht="12.75">
      <c r="C147" s="35" t="s">
        <v>221</v>
      </c>
      <c r="E147" s="36"/>
    </row>
    <row r="148" spans="3:5" ht="12.75">
      <c r="C148" s="35"/>
      <c r="E148" s="36"/>
    </row>
    <row r="149" spans="1:3" ht="12.75">
      <c r="A149" s="36" t="s">
        <v>2</v>
      </c>
      <c r="B149" s="36" t="s">
        <v>222</v>
      </c>
      <c r="C149" s="35" t="s">
        <v>237</v>
      </c>
    </row>
    <row r="150" spans="3:5" ht="12.75">
      <c r="C150" s="35" t="s">
        <v>266</v>
      </c>
      <c r="E150" s="38"/>
    </row>
    <row r="151" spans="1:5" ht="12.75">
      <c r="A151" s="18">
        <f>A140-A140</f>
        <v>0</v>
      </c>
      <c r="B151" s="18">
        <f>0.3048*2079</f>
        <v>633.6792</v>
      </c>
      <c r="C151" t="s">
        <v>231</v>
      </c>
      <c r="D151" t="s">
        <v>241</v>
      </c>
      <c r="E151" t="s">
        <v>238</v>
      </c>
    </row>
    <row r="152" spans="1:5" ht="12.75">
      <c r="A152" s="34">
        <f>A140-A139</f>
        <v>69.20000000000002</v>
      </c>
      <c r="B152" s="18">
        <f>0.3048*2164</f>
        <v>659.5872</v>
      </c>
      <c r="C152" t="s">
        <v>116</v>
      </c>
      <c r="E152" s="40"/>
    </row>
    <row r="153" spans="1:5" ht="12.75">
      <c r="A153" s="34">
        <f>A140-A138</f>
        <v>112.50000000000001</v>
      </c>
      <c r="B153" s="18">
        <f>0.3048*2158</f>
        <v>657.7584</v>
      </c>
      <c r="C153" t="s">
        <v>230</v>
      </c>
      <c r="E153" s="40"/>
    </row>
    <row r="154" spans="1:5" ht="12.75">
      <c r="A154" s="34">
        <f>A140-A137</f>
        <v>124.70000000000002</v>
      </c>
      <c r="B154" s="18">
        <f>0.3048*2916</f>
        <v>888.7968000000001</v>
      </c>
      <c r="C154" t="s">
        <v>229</v>
      </c>
      <c r="E154" s="40"/>
    </row>
    <row r="155" spans="1:5" ht="12.75">
      <c r="A155" s="34">
        <f>A140-A136</f>
        <v>145</v>
      </c>
      <c r="B155" s="18">
        <f>0.3048*2885</f>
        <v>879.3480000000001</v>
      </c>
      <c r="C155" t="s">
        <v>228</v>
      </c>
      <c r="E155" s="40"/>
    </row>
    <row r="156" spans="1:5" ht="12.75">
      <c r="A156" s="34">
        <f>A140-A135</f>
        <v>174.10000000000002</v>
      </c>
      <c r="B156" s="18">
        <v>0</v>
      </c>
      <c r="C156" t="s">
        <v>227</v>
      </c>
      <c r="D156" t="s">
        <v>246</v>
      </c>
      <c r="E156" s="39"/>
    </row>
    <row r="157" spans="1:5" ht="12.75">
      <c r="A157" s="34">
        <f>A140-A134</f>
        <v>176.83</v>
      </c>
      <c r="B157" s="18">
        <v>0</v>
      </c>
      <c r="C157" t="s">
        <v>225</v>
      </c>
      <c r="D157" t="s">
        <v>246</v>
      </c>
      <c r="E157" s="40"/>
    </row>
    <row r="158" spans="3:5" ht="12.75">
      <c r="C158" t="s">
        <v>239</v>
      </c>
      <c r="E158" s="12"/>
    </row>
    <row r="159" ht="12.75">
      <c r="C159" t="s">
        <v>233</v>
      </c>
    </row>
    <row r="160" ht="12.75">
      <c r="C160" t="s">
        <v>234</v>
      </c>
    </row>
    <row r="161" ht="12.75">
      <c r="C161"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5.xml><?xml version="1.0" encoding="utf-8"?>
<worksheet xmlns="http://schemas.openxmlformats.org/spreadsheetml/2006/main" xmlns:r="http://schemas.openxmlformats.org/officeDocument/2006/relationships">
  <dimension ref="A1:K168"/>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2.7109375" style="0" customWidth="1"/>
    <col min="5" max="16384" width="11.57421875" style="0" customWidth="1"/>
  </cols>
  <sheetData>
    <row r="1" spans="1:5" ht="12.75">
      <c r="A1" s="3">
        <v>1978</v>
      </c>
      <c r="C1" s="3" t="s">
        <v>34</v>
      </c>
      <c r="E1" s="41" t="s">
        <v>345</v>
      </c>
    </row>
    <row r="2" spans="1:5" ht="12.75">
      <c r="A2" s="50" t="s">
        <v>2</v>
      </c>
      <c r="B2" s="36" t="s">
        <v>222</v>
      </c>
      <c r="C2" s="42" t="s">
        <v>223</v>
      </c>
      <c r="D2" s="19"/>
      <c r="E2" s="41" t="s">
        <v>57</v>
      </c>
    </row>
    <row r="3" spans="1:5" ht="12.75">
      <c r="A3" s="16"/>
      <c r="C3" s="42" t="s">
        <v>359</v>
      </c>
      <c r="D3" s="19"/>
      <c r="E3">
        <v>6</v>
      </c>
    </row>
    <row r="4" spans="1:5" ht="12.75">
      <c r="A4" s="16"/>
      <c r="C4" s="19"/>
      <c r="D4" s="19"/>
      <c r="E4" s="43" t="s">
        <v>15</v>
      </c>
    </row>
    <row r="5" spans="1:5" ht="12.75">
      <c r="A5">
        <v>0</v>
      </c>
      <c r="B5" s="17">
        <f>0.3048*38</f>
        <v>11.5824</v>
      </c>
      <c r="C5" s="19" t="s">
        <v>245</v>
      </c>
      <c r="D5" s="19" t="s">
        <v>241</v>
      </c>
      <c r="E5" s="39">
        <v>0.3958333333333333</v>
      </c>
    </row>
    <row r="6" spans="1:5" ht="12.75">
      <c r="A6">
        <v>35</v>
      </c>
      <c r="B6" s="17">
        <f>0.3048*92</f>
        <v>28.041600000000003</v>
      </c>
      <c r="C6" s="19" t="s">
        <v>295</v>
      </c>
      <c r="D6" s="47" t="s">
        <v>286</v>
      </c>
      <c r="E6" s="39">
        <v>0.42916666666666664</v>
      </c>
    </row>
    <row r="7" spans="1:5" ht="12.75">
      <c r="A7">
        <v>43</v>
      </c>
      <c r="B7" s="17">
        <f>0.3048*50</f>
        <v>15.24</v>
      </c>
      <c r="C7" s="19" t="s">
        <v>296</v>
      </c>
      <c r="D7" s="47" t="s">
        <v>286</v>
      </c>
      <c r="E7" s="39">
        <v>0.43472222222222223</v>
      </c>
    </row>
    <row r="8" spans="1:5" ht="12.75">
      <c r="A8">
        <v>59</v>
      </c>
      <c r="B8" s="17">
        <f>0.3048*36</f>
        <v>10.972800000000001</v>
      </c>
      <c r="C8" s="19" t="s">
        <v>247</v>
      </c>
      <c r="D8">
        <v>26</v>
      </c>
      <c r="E8" s="39">
        <v>0.4444444444444444</v>
      </c>
    </row>
    <row r="9" spans="1:5" ht="12.75">
      <c r="A9">
        <v>73</v>
      </c>
      <c r="B9" s="17">
        <f>0.3048*339</f>
        <v>103.3272</v>
      </c>
      <c r="C9" s="19" t="s">
        <v>248</v>
      </c>
      <c r="D9" s="47"/>
      <c r="E9" s="39">
        <v>0.4583333333333333</v>
      </c>
    </row>
    <row r="10" spans="1:11" ht="12.75">
      <c r="A10">
        <v>83</v>
      </c>
      <c r="C10" t="s">
        <v>360</v>
      </c>
      <c r="D10">
        <v>26</v>
      </c>
      <c r="E10" s="36" t="s">
        <v>361</v>
      </c>
      <c r="K10" s="36"/>
    </row>
    <row r="11" spans="1:11" ht="12.75">
      <c r="A11">
        <v>98</v>
      </c>
      <c r="B11" s="17">
        <f>0.3048*246</f>
        <v>74.9808</v>
      </c>
      <c r="C11" t="s">
        <v>298</v>
      </c>
      <c r="D11">
        <v>26</v>
      </c>
      <c r="E11" s="39">
        <v>0.4736111111111111</v>
      </c>
      <c r="K11" s="36"/>
    </row>
    <row r="12" spans="1:11" ht="12.75">
      <c r="A12">
        <v>115</v>
      </c>
      <c r="B12" s="17">
        <f>0.3048*232</f>
        <v>70.7136</v>
      </c>
      <c r="C12" t="s">
        <v>300</v>
      </c>
      <c r="D12" s="47" t="s">
        <v>286</v>
      </c>
      <c r="E12" s="39">
        <v>0.4840277777777778</v>
      </c>
      <c r="K12" s="36"/>
    </row>
    <row r="13" spans="1:11" ht="12.75">
      <c r="A13">
        <v>123</v>
      </c>
      <c r="B13" s="17">
        <f>0.3048*175</f>
        <v>53.34</v>
      </c>
      <c r="C13" t="s">
        <v>301</v>
      </c>
      <c r="D13" s="47" t="s">
        <v>286</v>
      </c>
      <c r="E13" s="36" t="s">
        <v>286</v>
      </c>
      <c r="K13" s="36"/>
    </row>
    <row r="14" spans="1:11" ht="12.75">
      <c r="A14">
        <v>128</v>
      </c>
      <c r="B14" s="17">
        <f>0.3048*236</f>
        <v>71.9328</v>
      </c>
      <c r="C14" t="s">
        <v>302</v>
      </c>
      <c r="D14">
        <v>26</v>
      </c>
      <c r="E14" s="39">
        <v>0.49166666666666664</v>
      </c>
      <c r="K14" s="36"/>
    </row>
    <row r="15" spans="1:11" ht="12.75">
      <c r="A15">
        <v>142</v>
      </c>
      <c r="B15" s="17">
        <f>0.3048*246</f>
        <v>74.9808</v>
      </c>
      <c r="C15" t="s">
        <v>303</v>
      </c>
      <c r="D15">
        <v>26</v>
      </c>
      <c r="E15" s="39">
        <v>0.49930555555555556</v>
      </c>
      <c r="K15" s="36"/>
    </row>
    <row r="16" spans="1:11" ht="12.75">
      <c r="A16">
        <v>153</v>
      </c>
      <c r="B16" s="17">
        <f>0.3048*282</f>
        <v>85.95360000000001</v>
      </c>
      <c r="C16" t="s">
        <v>305</v>
      </c>
      <c r="D16" s="47" t="s">
        <v>286</v>
      </c>
      <c r="E16" s="39">
        <v>0.50625</v>
      </c>
      <c r="K16" s="36"/>
    </row>
    <row r="17" spans="1:11" ht="12.75">
      <c r="A17">
        <v>163</v>
      </c>
      <c r="B17" s="17">
        <f>0.3048*328</f>
        <v>99.9744</v>
      </c>
      <c r="C17" t="s">
        <v>307</v>
      </c>
      <c r="D17">
        <v>26</v>
      </c>
      <c r="E17" s="39">
        <v>0.5125</v>
      </c>
      <c r="K17" s="36"/>
    </row>
    <row r="18" spans="1:11" ht="12.75">
      <c r="A18">
        <v>172</v>
      </c>
      <c r="B18" s="17">
        <f>0.3048*310</f>
        <v>94.488</v>
      </c>
      <c r="C18" t="s">
        <v>308</v>
      </c>
      <c r="D18" s="47" t="s">
        <v>286</v>
      </c>
      <c r="E18" s="36" t="s">
        <v>286</v>
      </c>
      <c r="K18" s="36"/>
    </row>
    <row r="19" spans="1:11" ht="12.75">
      <c r="A19">
        <v>181</v>
      </c>
      <c r="B19" s="17">
        <f>0.3048*354</f>
        <v>107.89920000000001</v>
      </c>
      <c r="C19" s="19" t="s">
        <v>249</v>
      </c>
      <c r="D19" s="19"/>
      <c r="E19" s="39">
        <v>0.5236111111111111</v>
      </c>
      <c r="K19" s="36"/>
    </row>
    <row r="20" spans="1:11" ht="12.75">
      <c r="A20">
        <v>189</v>
      </c>
      <c r="C20" t="s">
        <v>362</v>
      </c>
      <c r="D20" t="s">
        <v>286</v>
      </c>
      <c r="E20" s="36" t="s">
        <v>286</v>
      </c>
      <c r="K20" s="36"/>
    </row>
    <row r="21" spans="1:11" ht="12.75">
      <c r="A21">
        <v>192</v>
      </c>
      <c r="C21" t="s">
        <v>363</v>
      </c>
      <c r="D21">
        <v>26</v>
      </c>
      <c r="E21" s="36" t="s">
        <v>361</v>
      </c>
      <c r="K21" s="36"/>
    </row>
    <row r="22" spans="1:5" ht="12.75">
      <c r="A22">
        <v>196</v>
      </c>
      <c r="B22" s="17">
        <f>0.3048*461</f>
        <v>140.5128</v>
      </c>
      <c r="C22" s="19" t="s">
        <v>309</v>
      </c>
      <c r="D22" s="47" t="s">
        <v>286</v>
      </c>
      <c r="E22" s="39">
        <v>0.5333333333333333</v>
      </c>
    </row>
    <row r="23" spans="1:5" ht="12.75">
      <c r="A23">
        <v>200</v>
      </c>
      <c r="C23" t="s">
        <v>364</v>
      </c>
      <c r="D23">
        <v>26</v>
      </c>
      <c r="E23" s="36" t="s">
        <v>361</v>
      </c>
    </row>
    <row r="24" spans="1:5" ht="12.75">
      <c r="A24">
        <v>201</v>
      </c>
      <c r="C24" t="s">
        <v>365</v>
      </c>
      <c r="D24">
        <v>26</v>
      </c>
      <c r="E24" s="36" t="s">
        <v>361</v>
      </c>
    </row>
    <row r="25" spans="1:5" ht="12.75">
      <c r="A25">
        <v>205</v>
      </c>
      <c r="C25" t="s">
        <v>366</v>
      </c>
      <c r="D25" t="s">
        <v>286</v>
      </c>
      <c r="E25" s="36" t="s">
        <v>286</v>
      </c>
    </row>
    <row r="26" spans="1:5" ht="12.75">
      <c r="A26">
        <v>210</v>
      </c>
      <c r="C26" t="s">
        <v>367</v>
      </c>
      <c r="D26" t="s">
        <v>286</v>
      </c>
      <c r="E26" s="36" t="s">
        <v>286</v>
      </c>
    </row>
    <row r="27" spans="1:5" ht="12.75">
      <c r="A27">
        <v>216</v>
      </c>
      <c r="B27" s="17">
        <f>0.3048*546</f>
        <v>166.4208</v>
      </c>
      <c r="C27" s="19" t="s">
        <v>250</v>
      </c>
      <c r="D27" s="47" t="s">
        <v>286</v>
      </c>
      <c r="E27" s="39">
        <v>0.5458333333333333</v>
      </c>
    </row>
    <row r="28" spans="1:5" ht="12.75">
      <c r="A28">
        <v>231</v>
      </c>
      <c r="B28" s="17">
        <f>0.3048*621</f>
        <v>189.2808</v>
      </c>
      <c r="C28" s="19" t="s">
        <v>310</v>
      </c>
      <c r="D28" s="47" t="s">
        <v>286</v>
      </c>
      <c r="E28" s="39">
        <v>0.5569444444444445</v>
      </c>
    </row>
    <row r="29" spans="1:5" ht="12.75">
      <c r="A29">
        <v>240</v>
      </c>
      <c r="B29" s="17">
        <f>0.3048*731</f>
        <v>222.80880000000002</v>
      </c>
      <c r="C29" s="19" t="s">
        <v>311</v>
      </c>
      <c r="D29" s="47" t="s">
        <v>286</v>
      </c>
      <c r="E29" s="39">
        <v>0.5638888888888889</v>
      </c>
    </row>
    <row r="30" spans="1:5" ht="12.75">
      <c r="A30">
        <v>244</v>
      </c>
      <c r="C30" t="s">
        <v>368</v>
      </c>
      <c r="D30">
        <v>26</v>
      </c>
      <c r="E30" s="36" t="s">
        <v>361</v>
      </c>
    </row>
    <row r="31" spans="1:5" ht="12.75">
      <c r="A31">
        <v>248</v>
      </c>
      <c r="B31" s="17">
        <f>0.3048*879</f>
        <v>267.9192</v>
      </c>
      <c r="C31" s="19" t="s">
        <v>312</v>
      </c>
      <c r="D31" s="47" t="s">
        <v>286</v>
      </c>
      <c r="E31" s="39">
        <v>0.5701388888888889</v>
      </c>
    </row>
    <row r="32" spans="1:5" ht="12.75">
      <c r="A32">
        <v>249</v>
      </c>
      <c r="C32" t="s">
        <v>369</v>
      </c>
      <c r="D32">
        <v>26</v>
      </c>
      <c r="E32" s="36" t="s">
        <v>361</v>
      </c>
    </row>
    <row r="33" spans="1:5" ht="12.75">
      <c r="A33">
        <v>251</v>
      </c>
      <c r="C33" t="s">
        <v>370</v>
      </c>
      <c r="D33">
        <v>26</v>
      </c>
      <c r="E33" s="36" t="s">
        <v>361</v>
      </c>
    </row>
    <row r="34" spans="1:5" ht="12.75">
      <c r="A34">
        <v>257</v>
      </c>
      <c r="B34" s="17">
        <f>0.3048*1280</f>
        <v>390.144</v>
      </c>
      <c r="C34" s="19" t="s">
        <v>313</v>
      </c>
      <c r="D34" s="47" t="s">
        <v>286</v>
      </c>
      <c r="E34" s="39">
        <v>0.5784722222222223</v>
      </c>
    </row>
    <row r="35" spans="1:5" ht="12.75">
      <c r="A35">
        <v>259</v>
      </c>
      <c r="C35" t="s">
        <v>371</v>
      </c>
      <c r="D35">
        <v>26</v>
      </c>
      <c r="E35" s="36" t="s">
        <v>361</v>
      </c>
    </row>
    <row r="36" spans="1:5" ht="12.75">
      <c r="A36">
        <v>269</v>
      </c>
      <c r="B36" s="17">
        <f>0.3048*1688</f>
        <v>514.5024000000001</v>
      </c>
      <c r="C36" s="19" t="s">
        <v>252</v>
      </c>
      <c r="D36">
        <v>26</v>
      </c>
      <c r="E36" s="39">
        <v>0.5888888888888889</v>
      </c>
    </row>
    <row r="37" spans="1:5" ht="12.75">
      <c r="A37">
        <v>281</v>
      </c>
      <c r="B37" s="17">
        <f>0.3048*1456</f>
        <v>443.78880000000004</v>
      </c>
      <c r="C37" t="s">
        <v>314</v>
      </c>
      <c r="D37">
        <v>26</v>
      </c>
      <c r="E37" s="39">
        <v>0.6020833333333333</v>
      </c>
    </row>
    <row r="38" spans="1:5" ht="12.75">
      <c r="A38">
        <v>294</v>
      </c>
      <c r="B38" s="17">
        <f>0.3048*1954</f>
        <v>595.5792</v>
      </c>
      <c r="C38" t="s">
        <v>315</v>
      </c>
      <c r="D38" s="47" t="s">
        <v>286</v>
      </c>
      <c r="E38" s="39">
        <v>0.6145833333333334</v>
      </c>
    </row>
    <row r="39" spans="1:5" ht="12.75">
      <c r="A39">
        <v>306</v>
      </c>
      <c r="B39" s="17">
        <f>0.3048*2127</f>
        <v>648.3096</v>
      </c>
      <c r="C39" t="s">
        <v>253</v>
      </c>
      <c r="D39" s="47" t="s">
        <v>286</v>
      </c>
      <c r="E39" s="39">
        <v>0.6215277777777778</v>
      </c>
    </row>
    <row r="40" spans="1:5" ht="12.75">
      <c r="A40">
        <v>319</v>
      </c>
      <c r="B40" s="17">
        <f>0.3048*2337</f>
        <v>712.3176000000001</v>
      </c>
      <c r="C40" t="s">
        <v>125</v>
      </c>
      <c r="D40" s="47" t="s">
        <v>286</v>
      </c>
      <c r="E40" s="39">
        <v>0.6298611111111111</v>
      </c>
    </row>
    <row r="41" spans="1:5" ht="12.75">
      <c r="A41">
        <v>330</v>
      </c>
      <c r="B41" s="17">
        <f>0.3048*2212</f>
        <v>674.2176000000001</v>
      </c>
      <c r="C41" t="s">
        <v>254</v>
      </c>
      <c r="D41" s="47"/>
      <c r="E41" s="39">
        <v>0.6375</v>
      </c>
    </row>
    <row r="42" spans="1:5" ht="12.75">
      <c r="A42">
        <v>342</v>
      </c>
      <c r="B42" s="17">
        <f>0.3048*2056</f>
        <v>626.6688</v>
      </c>
      <c r="C42" s="19" t="s">
        <v>316</v>
      </c>
      <c r="D42">
        <v>26</v>
      </c>
      <c r="E42" s="39">
        <v>0.6472222222222223</v>
      </c>
    </row>
    <row r="43" spans="1:5" ht="12.75">
      <c r="A43">
        <v>354</v>
      </c>
      <c r="B43" s="17">
        <f>0.3048*1957</f>
        <v>596.4936</v>
      </c>
      <c r="C43" t="s">
        <v>317</v>
      </c>
      <c r="D43" s="47" t="s">
        <v>286</v>
      </c>
      <c r="E43" s="39">
        <v>0.6576388888888889</v>
      </c>
    </row>
    <row r="44" spans="1:5" ht="12.75">
      <c r="A44">
        <v>367</v>
      </c>
      <c r="C44" t="s">
        <v>372</v>
      </c>
      <c r="D44">
        <v>26</v>
      </c>
      <c r="E44" s="36" t="s">
        <v>361</v>
      </c>
    </row>
    <row r="45" spans="1:5" ht="12.75">
      <c r="A45">
        <v>376</v>
      </c>
      <c r="B45" s="17">
        <f>0.3048*1732</f>
        <v>527.9136</v>
      </c>
      <c r="C45" s="39" t="s">
        <v>255</v>
      </c>
      <c r="D45" s="47"/>
      <c r="E45" s="39">
        <v>0.6847222222222222</v>
      </c>
    </row>
    <row r="46" spans="1:5" ht="12.75">
      <c r="A46">
        <v>388</v>
      </c>
      <c r="B46" s="17">
        <f>0.3048*1432</f>
        <v>436.47360000000003</v>
      </c>
      <c r="C46" t="s">
        <v>319</v>
      </c>
      <c r="D46">
        <v>26</v>
      </c>
      <c r="E46" s="39">
        <v>0.7013888888888888</v>
      </c>
    </row>
    <row r="47" spans="1:5" ht="12.75">
      <c r="A47">
        <v>393</v>
      </c>
      <c r="B47" s="17">
        <f>0.3048*1368</f>
        <v>416.9664</v>
      </c>
      <c r="C47" s="19" t="s">
        <v>256</v>
      </c>
      <c r="D47" s="19" t="s">
        <v>246</v>
      </c>
      <c r="E47" s="39">
        <v>0.7069444444444445</v>
      </c>
    </row>
    <row r="48" spans="1:5" ht="12.75">
      <c r="A48">
        <v>393</v>
      </c>
      <c r="B48" s="17">
        <f>0.3048*1368</f>
        <v>416.9664</v>
      </c>
      <c r="C48" s="19" t="s">
        <v>256</v>
      </c>
      <c r="D48" s="19" t="s">
        <v>241</v>
      </c>
      <c r="E48" s="39">
        <v>0.7090277777777778</v>
      </c>
    </row>
    <row r="49" spans="1:5" ht="12.75">
      <c r="A49">
        <v>413</v>
      </c>
      <c r="B49" s="17">
        <f>0.3048*1006</f>
        <v>306.6288</v>
      </c>
      <c r="C49" t="s">
        <v>321</v>
      </c>
      <c r="D49">
        <v>26</v>
      </c>
      <c r="E49" s="39">
        <v>0.7229166666666667</v>
      </c>
    </row>
    <row r="50" spans="1:5" ht="12.75">
      <c r="A50">
        <v>429</v>
      </c>
      <c r="B50" s="17">
        <f>0.3048*810</f>
        <v>246.888</v>
      </c>
      <c r="C50" t="s">
        <v>322</v>
      </c>
      <c r="D50">
        <v>26</v>
      </c>
      <c r="E50" s="39">
        <v>0.7326388888888888</v>
      </c>
    </row>
    <row r="51" spans="1:5" ht="12.75">
      <c r="A51">
        <v>448</v>
      </c>
      <c r="B51" s="17">
        <f>0.3048*537</f>
        <v>163.6776</v>
      </c>
      <c r="C51" t="s">
        <v>323</v>
      </c>
      <c r="D51" s="47" t="s">
        <v>286</v>
      </c>
      <c r="E51" s="39">
        <v>0.7430555555555556</v>
      </c>
    </row>
    <row r="52" spans="1:5" ht="12.75">
      <c r="A52">
        <v>479</v>
      </c>
      <c r="B52" s="17">
        <f>0.3048*362</f>
        <v>110.33760000000001</v>
      </c>
      <c r="C52" s="19" t="s">
        <v>257</v>
      </c>
      <c r="D52" s="47"/>
      <c r="E52" s="39">
        <v>0.7652777777777777</v>
      </c>
    </row>
    <row r="53" spans="1:5" ht="12.75">
      <c r="A53">
        <v>511</v>
      </c>
      <c r="B53" s="17">
        <f>0.3048*368</f>
        <v>112.16640000000001</v>
      </c>
      <c r="C53" s="19" t="s">
        <v>327</v>
      </c>
      <c r="D53" s="47" t="s">
        <v>286</v>
      </c>
      <c r="E53" s="39">
        <v>0.7875</v>
      </c>
    </row>
    <row r="54" spans="1:5" ht="12.75">
      <c r="A54">
        <v>523</v>
      </c>
      <c r="B54" s="17">
        <f>0.3048*406</f>
        <v>123.7488</v>
      </c>
      <c r="C54" s="19" t="s">
        <v>328</v>
      </c>
      <c r="D54" s="47" t="s">
        <v>286</v>
      </c>
      <c r="E54" s="39">
        <v>0.7951388888888888</v>
      </c>
    </row>
    <row r="55" spans="1:5" ht="12.75">
      <c r="A55">
        <v>527</v>
      </c>
      <c r="C55" t="s">
        <v>373</v>
      </c>
      <c r="D55">
        <v>26</v>
      </c>
      <c r="E55" s="36" t="s">
        <v>361</v>
      </c>
    </row>
    <row r="56" spans="1:5" ht="12.75">
      <c r="A56">
        <v>541</v>
      </c>
      <c r="B56" s="17">
        <f>0.3048*465</f>
        <v>141.732</v>
      </c>
      <c r="C56" s="19" t="s">
        <v>329</v>
      </c>
      <c r="D56" s="47" t="s">
        <v>286</v>
      </c>
      <c r="E56" s="39">
        <v>0.80625</v>
      </c>
    </row>
    <row r="57" spans="1:5" ht="12.75">
      <c r="A57">
        <v>573</v>
      </c>
      <c r="B57" s="17">
        <f>0.3048*448</f>
        <v>136.5504</v>
      </c>
      <c r="C57" s="19" t="s">
        <v>258</v>
      </c>
      <c r="D57" s="19" t="s">
        <v>246</v>
      </c>
      <c r="E57" s="39">
        <v>0.8333333333333334</v>
      </c>
    </row>
    <row r="58" spans="1:3" ht="12.75">
      <c r="A58" s="16"/>
      <c r="C58" s="19" t="s">
        <v>290</v>
      </c>
    </row>
    <row r="59" ht="12.75">
      <c r="C59" t="s">
        <v>374</v>
      </c>
    </row>
    <row r="60" ht="12.75">
      <c r="C60" s="19" t="s">
        <v>375</v>
      </c>
    </row>
    <row r="61" ht="12.75">
      <c r="E61" s="41" t="s">
        <v>345</v>
      </c>
    </row>
    <row r="62" spans="1:5" ht="12.75">
      <c r="A62" s="50" t="s">
        <v>2</v>
      </c>
      <c r="B62" s="36" t="s">
        <v>222</v>
      </c>
      <c r="C62" s="42" t="s">
        <v>237</v>
      </c>
      <c r="D62" s="19"/>
      <c r="E62" s="41" t="s">
        <v>57</v>
      </c>
    </row>
    <row r="63" spans="1:5" ht="12.75">
      <c r="A63" s="16"/>
      <c r="C63" s="42" t="s">
        <v>359</v>
      </c>
      <c r="D63" s="19"/>
      <c r="E63">
        <v>5</v>
      </c>
    </row>
    <row r="64" spans="1:5" ht="12.75">
      <c r="A64" s="16"/>
      <c r="C64" s="19"/>
      <c r="D64" s="19"/>
      <c r="E64" s="43" t="s">
        <v>15</v>
      </c>
    </row>
    <row r="65" spans="1:5" ht="12.75">
      <c r="A65" s="17">
        <f>A57-A57</f>
        <v>0</v>
      </c>
      <c r="B65" s="17">
        <f>B57-B57</f>
        <v>0</v>
      </c>
      <c r="C65" s="19" t="s">
        <v>258</v>
      </c>
      <c r="D65" s="19" t="s">
        <v>241</v>
      </c>
      <c r="E65" s="39">
        <v>0.3958333333333333</v>
      </c>
    </row>
    <row r="66" spans="1:5" ht="12.75">
      <c r="A66" s="17">
        <f>A57-A56</f>
        <v>32</v>
      </c>
      <c r="B66" s="17">
        <f>B56</f>
        <v>141.732</v>
      </c>
      <c r="C66" s="19" t="s">
        <v>329</v>
      </c>
      <c r="D66" s="47" t="s">
        <v>286</v>
      </c>
      <c r="E66" s="39">
        <v>0.4222222222222222</v>
      </c>
    </row>
    <row r="67" spans="1:5" ht="12.75">
      <c r="A67" s="18">
        <f>$A$57-A55</f>
        <v>46</v>
      </c>
      <c r="C67" s="17" t="str">
        <f>C55</f>
        <v>Milepost 442</v>
      </c>
      <c r="D67">
        <v>37</v>
      </c>
      <c r="E67" s="36" t="s">
        <v>376</v>
      </c>
    </row>
    <row r="68" spans="1:5" ht="12.75">
      <c r="A68" s="17">
        <f>A57-A54</f>
        <v>50</v>
      </c>
      <c r="B68" s="17">
        <f>B54</f>
        <v>123.7488</v>
      </c>
      <c r="C68" s="19" t="s">
        <v>328</v>
      </c>
      <c r="D68" s="47" t="s">
        <v>286</v>
      </c>
      <c r="E68" s="39">
        <v>0.43333333333333335</v>
      </c>
    </row>
    <row r="69" spans="1:5" ht="12.75">
      <c r="A69" s="17">
        <f>A57-A53</f>
        <v>62</v>
      </c>
      <c r="B69" s="17">
        <f>B53</f>
        <v>112.16640000000001</v>
      </c>
      <c r="C69" s="19" t="s">
        <v>327</v>
      </c>
      <c r="D69" s="47" t="s">
        <v>286</v>
      </c>
      <c r="E69" s="39">
        <v>0.4409722222222222</v>
      </c>
    </row>
    <row r="70" spans="1:5" ht="12.75">
      <c r="A70" s="17">
        <f>A57-A52</f>
        <v>94</v>
      </c>
      <c r="B70" s="17">
        <f>B52</f>
        <v>110.33760000000001</v>
      </c>
      <c r="C70" s="19" t="s">
        <v>257</v>
      </c>
      <c r="D70" s="47"/>
      <c r="E70" s="39">
        <v>0.4638888888888889</v>
      </c>
    </row>
    <row r="71" spans="1:5" ht="12.75">
      <c r="A71" s="17">
        <f>A57-A51</f>
        <v>125</v>
      </c>
      <c r="B71" s="17">
        <f>B51</f>
        <v>163.6776</v>
      </c>
      <c r="C71" t="s">
        <v>323</v>
      </c>
      <c r="D71" s="47" t="s">
        <v>286</v>
      </c>
      <c r="E71" s="39">
        <v>0.4826388888888889</v>
      </c>
    </row>
    <row r="72" spans="1:5" ht="12.75">
      <c r="A72" s="17">
        <f>A57-A50</f>
        <v>144</v>
      </c>
      <c r="B72" s="17">
        <f>B50</f>
        <v>246.888</v>
      </c>
      <c r="C72" t="s">
        <v>322</v>
      </c>
      <c r="D72">
        <v>37</v>
      </c>
      <c r="E72" s="39">
        <v>0.4951388888888889</v>
      </c>
    </row>
    <row r="73" spans="1:5" ht="12.75">
      <c r="A73" s="17">
        <f>A57-A49</f>
        <v>160</v>
      </c>
      <c r="B73" s="17">
        <f>B49</f>
        <v>306.6288</v>
      </c>
      <c r="C73" t="s">
        <v>321</v>
      </c>
      <c r="D73">
        <v>37</v>
      </c>
      <c r="E73" s="39">
        <v>0.5041666666666667</v>
      </c>
    </row>
    <row r="74" spans="1:5" ht="12.75">
      <c r="A74" s="17">
        <f>A57-A48</f>
        <v>180</v>
      </c>
      <c r="B74" s="17">
        <f>B48</f>
        <v>416.9664</v>
      </c>
      <c r="C74" s="19" t="s">
        <v>256</v>
      </c>
      <c r="D74" s="19" t="s">
        <v>246</v>
      </c>
      <c r="E74" s="39">
        <v>0.5173611111111112</v>
      </c>
    </row>
    <row r="75" spans="1:5" ht="12.75">
      <c r="A75" s="17">
        <f>A57-A47</f>
        <v>180</v>
      </c>
      <c r="B75" s="17">
        <f>B47</f>
        <v>416.9664</v>
      </c>
      <c r="C75" s="19" t="s">
        <v>256</v>
      </c>
      <c r="D75" s="19" t="s">
        <v>241</v>
      </c>
      <c r="E75" s="39">
        <v>0.5180555555555556</v>
      </c>
    </row>
    <row r="76" spans="1:5" ht="12.75">
      <c r="A76" s="17">
        <f>A57-A46</f>
        <v>185</v>
      </c>
      <c r="B76" s="17">
        <f>B46</f>
        <v>436.47360000000003</v>
      </c>
      <c r="C76" t="s">
        <v>319</v>
      </c>
      <c r="D76">
        <v>37</v>
      </c>
      <c r="E76" s="39">
        <v>0.5243055555555556</v>
      </c>
    </row>
    <row r="77" spans="1:5" ht="12.75">
      <c r="A77" s="17">
        <f>A57-A45</f>
        <v>197</v>
      </c>
      <c r="B77" s="17">
        <f>B45</f>
        <v>527.9136</v>
      </c>
      <c r="C77" s="39" t="s">
        <v>255</v>
      </c>
      <c r="D77" s="47"/>
      <c r="E77" s="39">
        <v>0.5486111111111112</v>
      </c>
    </row>
    <row r="78" spans="1:5" ht="12.75">
      <c r="A78" s="18">
        <f>$A$57-A44</f>
        <v>206</v>
      </c>
      <c r="C78" s="17" t="str">
        <f>C44</f>
        <v>Milepost 342.7</v>
      </c>
      <c r="D78">
        <v>37</v>
      </c>
      <c r="E78" s="36" t="s">
        <v>376</v>
      </c>
    </row>
    <row r="79" spans="1:5" ht="12.75">
      <c r="A79" s="17">
        <f>A57-A43</f>
        <v>219</v>
      </c>
      <c r="B79" s="17">
        <f>B43</f>
        <v>596.4936</v>
      </c>
      <c r="C79" t="s">
        <v>317</v>
      </c>
      <c r="D79" s="47" t="s">
        <v>286</v>
      </c>
      <c r="E79" s="39">
        <v>0.56875</v>
      </c>
    </row>
    <row r="80" spans="1:5" ht="12.75">
      <c r="A80" s="17">
        <f>A57-A42</f>
        <v>231</v>
      </c>
      <c r="B80" s="17">
        <f>B42</f>
        <v>626.6688</v>
      </c>
      <c r="C80" s="19" t="s">
        <v>316</v>
      </c>
      <c r="D80">
        <v>37</v>
      </c>
      <c r="E80" s="39">
        <v>0.5791666666666667</v>
      </c>
    </row>
    <row r="81" spans="1:5" ht="12.75">
      <c r="A81" s="17">
        <f>A57-A41</f>
        <v>243</v>
      </c>
      <c r="B81" s="17">
        <f>B41</f>
        <v>674.2176000000001</v>
      </c>
      <c r="C81" t="s">
        <v>254</v>
      </c>
      <c r="D81" s="47"/>
      <c r="E81" s="39">
        <v>0.5895833333333333</v>
      </c>
    </row>
    <row r="82" spans="1:5" ht="12.75">
      <c r="A82" s="17">
        <f>A57-A40</f>
        <v>254</v>
      </c>
      <c r="B82" s="17">
        <f>B40</f>
        <v>712.3176000000001</v>
      </c>
      <c r="C82" t="s">
        <v>125</v>
      </c>
      <c r="D82">
        <v>37</v>
      </c>
      <c r="E82" s="39">
        <v>0.5972222222222222</v>
      </c>
    </row>
    <row r="83" spans="1:5" ht="12.75">
      <c r="A83" s="17">
        <f>A57-A39</f>
        <v>267</v>
      </c>
      <c r="B83" s="17">
        <f>B39</f>
        <v>648.3096</v>
      </c>
      <c r="C83" t="s">
        <v>253</v>
      </c>
      <c r="D83" s="47" t="s">
        <v>286</v>
      </c>
      <c r="E83" s="39">
        <v>0.6055555555555555</v>
      </c>
    </row>
    <row r="84" spans="1:5" ht="12.75">
      <c r="A84" s="17">
        <f>A57-A38</f>
        <v>279</v>
      </c>
      <c r="B84" s="17">
        <f>B38</f>
        <v>595.5792</v>
      </c>
      <c r="C84" t="s">
        <v>315</v>
      </c>
      <c r="D84" s="47" t="s">
        <v>286</v>
      </c>
      <c r="E84" s="39">
        <v>0.6145833333333334</v>
      </c>
    </row>
    <row r="85" spans="1:5" ht="12.75">
      <c r="A85" s="17">
        <f>A57-A37</f>
        <v>292</v>
      </c>
      <c r="B85" s="17">
        <f>B37</f>
        <v>443.78880000000004</v>
      </c>
      <c r="C85" t="s">
        <v>314</v>
      </c>
      <c r="D85">
        <v>37</v>
      </c>
      <c r="E85" s="39">
        <v>0.6243055555555556</v>
      </c>
    </row>
    <row r="86" spans="1:5" ht="12.75">
      <c r="A86" s="17">
        <f>A57-A36</f>
        <v>304</v>
      </c>
      <c r="B86" s="17">
        <f>B36</f>
        <v>514.5024000000001</v>
      </c>
      <c r="C86" s="19" t="s">
        <v>252</v>
      </c>
      <c r="D86">
        <v>37</v>
      </c>
      <c r="E86" s="39">
        <v>0.6375</v>
      </c>
    </row>
    <row r="87" spans="1:5" ht="12.75">
      <c r="A87" s="18">
        <f>$A$57-A35</f>
        <v>314</v>
      </c>
      <c r="C87" s="17" t="str">
        <f>C35</f>
        <v>Milepost 275.4</v>
      </c>
      <c r="D87">
        <v>37</v>
      </c>
      <c r="E87" s="36" t="s">
        <v>376</v>
      </c>
    </row>
    <row r="88" spans="1:5" ht="12.75">
      <c r="A88" s="17">
        <f>A57-A34</f>
        <v>316</v>
      </c>
      <c r="B88" s="17">
        <f>B34</f>
        <v>390.144</v>
      </c>
      <c r="C88" s="19" t="s">
        <v>313</v>
      </c>
      <c r="D88" s="47" t="s">
        <v>286</v>
      </c>
      <c r="E88" s="39">
        <v>0.6479166666666667</v>
      </c>
    </row>
    <row r="89" spans="1:5" ht="12.75">
      <c r="A89" s="18">
        <f>$A$57-A33</f>
        <v>322</v>
      </c>
      <c r="C89" s="17" t="str">
        <f>C33</f>
        <v>Milepost 270</v>
      </c>
      <c r="D89">
        <v>37</v>
      </c>
      <c r="E89" s="36" t="s">
        <v>376</v>
      </c>
    </row>
    <row r="90" spans="1:5" ht="12.75">
      <c r="A90" s="18">
        <f>$A$57-A32</f>
        <v>324</v>
      </c>
      <c r="C90" s="17" t="str">
        <f>C32</f>
        <v>Milepost 269</v>
      </c>
      <c r="D90">
        <v>37</v>
      </c>
      <c r="E90" s="36" t="s">
        <v>376</v>
      </c>
    </row>
    <row r="91" spans="1:5" ht="12.75">
      <c r="A91" s="18">
        <f>$A$57-A30</f>
        <v>329</v>
      </c>
      <c r="C91" s="17" t="str">
        <f>C30</f>
        <v>Milepost 266</v>
      </c>
      <c r="D91">
        <v>37</v>
      </c>
      <c r="E91" s="36" t="s">
        <v>376</v>
      </c>
    </row>
    <row r="92" spans="1:5" ht="12.75">
      <c r="A92" s="17">
        <f>A57-A31</f>
        <v>325</v>
      </c>
      <c r="B92" s="17">
        <f>B31</f>
        <v>267.9192</v>
      </c>
      <c r="C92" s="19" t="s">
        <v>312</v>
      </c>
      <c r="D92" s="47" t="s">
        <v>286</v>
      </c>
      <c r="E92" s="39">
        <v>0.65625</v>
      </c>
    </row>
    <row r="93" spans="1:5" ht="12.75">
      <c r="A93" s="17">
        <f>A57-A29</f>
        <v>333</v>
      </c>
      <c r="B93" s="17">
        <f>B29</f>
        <v>222.80880000000002</v>
      </c>
      <c r="C93" s="19" t="s">
        <v>311</v>
      </c>
      <c r="D93" s="47" t="s">
        <v>286</v>
      </c>
      <c r="E93" s="39">
        <v>0.6625</v>
      </c>
    </row>
    <row r="94" spans="1:5" ht="12.75">
      <c r="A94" s="17">
        <f>A57-A28</f>
        <v>342</v>
      </c>
      <c r="B94" s="17">
        <f>B28</f>
        <v>189.2808</v>
      </c>
      <c r="C94" s="19" t="s">
        <v>310</v>
      </c>
      <c r="D94" s="47" t="s">
        <v>286</v>
      </c>
      <c r="E94" s="39">
        <v>0.6694444444444444</v>
      </c>
    </row>
    <row r="95" spans="1:5" ht="12.75">
      <c r="A95" s="17">
        <f>A57-A27</f>
        <v>357</v>
      </c>
      <c r="B95" s="17">
        <f>B27</f>
        <v>166.4208</v>
      </c>
      <c r="C95" s="19" t="s">
        <v>250</v>
      </c>
      <c r="D95" s="47" t="s">
        <v>286</v>
      </c>
      <c r="E95" s="39">
        <v>0.6805555555555556</v>
      </c>
    </row>
    <row r="96" spans="1:5" ht="12.75">
      <c r="A96" s="18">
        <f>$A$57-A26</f>
        <v>363</v>
      </c>
      <c r="C96" s="17" t="str">
        <f>C26</f>
        <v>Milepost 244.6</v>
      </c>
      <c r="D96">
        <v>37</v>
      </c>
      <c r="E96" s="36" t="str">
        <f>E26</f>
        <v>X</v>
      </c>
    </row>
    <row r="97" spans="1:5" ht="12.75">
      <c r="A97" s="18">
        <f>$A$57-A25</f>
        <v>368</v>
      </c>
      <c r="C97" s="17" t="str">
        <f>C25</f>
        <v>Milepost 241.7</v>
      </c>
      <c r="D97" s="17" t="str">
        <f>D25</f>
        <v>X</v>
      </c>
      <c r="E97" s="36" t="str">
        <f>E25</f>
        <v>X</v>
      </c>
    </row>
    <row r="98" spans="1:5" ht="12.75">
      <c r="A98" s="18">
        <f>$A$57-A24</f>
        <v>372</v>
      </c>
      <c r="C98" s="17" t="str">
        <f>C24</f>
        <v>Milepost 239.5</v>
      </c>
      <c r="D98">
        <v>37</v>
      </c>
      <c r="E98" s="36" t="s">
        <v>376</v>
      </c>
    </row>
    <row r="99" spans="1:5" ht="12.75">
      <c r="A99" s="18">
        <f>$A$57-A23</f>
        <v>373</v>
      </c>
      <c r="C99" s="17" t="str">
        <f>C23</f>
        <v>Milepost 238.4</v>
      </c>
      <c r="D99">
        <v>37</v>
      </c>
      <c r="E99" s="36" t="s">
        <v>376</v>
      </c>
    </row>
    <row r="100" spans="1:5" ht="12.75">
      <c r="A100" s="17">
        <f>A57-A22</f>
        <v>377</v>
      </c>
      <c r="B100" s="17">
        <f>B22</f>
        <v>140.5128</v>
      </c>
      <c r="C100" s="19" t="s">
        <v>309</v>
      </c>
      <c r="D100" s="47" t="s">
        <v>286</v>
      </c>
      <c r="E100" s="39">
        <v>0.6930555555555555</v>
      </c>
    </row>
    <row r="101" spans="1:5" ht="12.75">
      <c r="A101" s="18">
        <f>$A$57-A21</f>
        <v>381</v>
      </c>
      <c r="C101" s="17" t="str">
        <f>C21</f>
        <v>Milepost 233.5</v>
      </c>
      <c r="D101">
        <v>37</v>
      </c>
      <c r="E101" s="36" t="s">
        <v>376</v>
      </c>
    </row>
    <row r="102" spans="1:5" ht="12.75">
      <c r="A102" s="18">
        <f>$A$57-A20</f>
        <v>384</v>
      </c>
      <c r="C102" s="17" t="str">
        <f>C20</f>
        <v>Milepost 232</v>
      </c>
      <c r="D102" s="17" t="str">
        <f>D20</f>
        <v>X</v>
      </c>
      <c r="E102" s="36" t="str">
        <f>E20</f>
        <v>X</v>
      </c>
    </row>
    <row r="103" spans="1:5" ht="12.75">
      <c r="A103" s="17">
        <f>A57-A19</f>
        <v>392</v>
      </c>
      <c r="B103" s="17">
        <f>B19</f>
        <v>107.89920000000001</v>
      </c>
      <c r="C103" s="19" t="s">
        <v>249</v>
      </c>
      <c r="D103" s="19"/>
      <c r="E103" s="39">
        <v>0.7027777777777777</v>
      </c>
    </row>
    <row r="104" spans="1:5" ht="12.75">
      <c r="A104" s="51">
        <f>A57-A18</f>
        <v>401</v>
      </c>
      <c r="B104" s="17">
        <f>B18</f>
        <v>94.488</v>
      </c>
      <c r="C104" s="19" t="s">
        <v>308</v>
      </c>
      <c r="D104" s="47" t="s">
        <v>286</v>
      </c>
      <c r="E104" s="36" t="s">
        <v>286</v>
      </c>
    </row>
    <row r="105" spans="1:5" ht="12.75">
      <c r="A105" s="17">
        <f>A57-A17</f>
        <v>410</v>
      </c>
      <c r="B105" s="17">
        <f>B17</f>
        <v>99.9744</v>
      </c>
      <c r="C105" t="s">
        <v>307</v>
      </c>
      <c r="D105">
        <v>37</v>
      </c>
      <c r="E105" s="39">
        <v>0.7131944444444445</v>
      </c>
    </row>
    <row r="106" spans="1:5" ht="12.75">
      <c r="A106" s="17">
        <f>A57-A16</f>
        <v>420</v>
      </c>
      <c r="B106" s="17">
        <f>B16</f>
        <v>85.95360000000001</v>
      </c>
      <c r="C106" t="s">
        <v>305</v>
      </c>
      <c r="D106" s="47" t="s">
        <v>286</v>
      </c>
      <c r="E106" s="39">
        <v>0.7194444444444444</v>
      </c>
    </row>
    <row r="107" spans="1:5" ht="12.75">
      <c r="A107" s="17">
        <f>A57-A15</f>
        <v>431</v>
      </c>
      <c r="B107" s="17">
        <f>B15</f>
        <v>74.9808</v>
      </c>
      <c r="C107" t="s">
        <v>303</v>
      </c>
      <c r="D107">
        <v>37</v>
      </c>
      <c r="E107" s="39">
        <v>0.7263888888888889</v>
      </c>
    </row>
    <row r="108" spans="1:5" ht="12.75">
      <c r="A108" s="17">
        <f>A57-A14</f>
        <v>445</v>
      </c>
      <c r="B108" s="17">
        <f>B14</f>
        <v>71.9328</v>
      </c>
      <c r="C108" t="s">
        <v>302</v>
      </c>
      <c r="D108">
        <v>37</v>
      </c>
      <c r="E108" s="39">
        <v>0.7347222222222223</v>
      </c>
    </row>
    <row r="109" spans="1:5" ht="12.75">
      <c r="A109" s="17">
        <f>A57-A13</f>
        <v>450</v>
      </c>
      <c r="B109" s="17">
        <f>B13</f>
        <v>53.34</v>
      </c>
      <c r="C109" t="s">
        <v>301</v>
      </c>
      <c r="D109" s="47" t="s">
        <v>286</v>
      </c>
      <c r="E109" s="36" t="s">
        <v>286</v>
      </c>
    </row>
    <row r="110" spans="1:5" ht="12.75">
      <c r="A110" s="17">
        <f>A57-A12</f>
        <v>458</v>
      </c>
      <c r="B110" s="17">
        <f>B12</f>
        <v>70.7136</v>
      </c>
      <c r="C110" t="s">
        <v>300</v>
      </c>
      <c r="D110" s="47" t="s">
        <v>286</v>
      </c>
      <c r="E110" s="39">
        <v>0.7423611111111111</v>
      </c>
    </row>
    <row r="111" spans="1:5" ht="12.75">
      <c r="A111" s="17">
        <f>A57-A11</f>
        <v>475</v>
      </c>
      <c r="B111" s="17">
        <f>B11</f>
        <v>74.9808</v>
      </c>
      <c r="C111" t="s">
        <v>298</v>
      </c>
      <c r="D111">
        <v>37</v>
      </c>
      <c r="E111" s="39">
        <v>0.7527777777777778</v>
      </c>
    </row>
    <row r="112" spans="1:5" ht="12.75">
      <c r="A112" s="17">
        <f>$A$57-A10</f>
        <v>490</v>
      </c>
      <c r="C112" s="17" t="str">
        <f>C10</f>
        <v>Milepost 166.2</v>
      </c>
      <c r="D112">
        <v>37</v>
      </c>
      <c r="E112" s="36" t="s">
        <v>376</v>
      </c>
    </row>
    <row r="113" spans="1:5" ht="12.75">
      <c r="A113" s="17">
        <f>A57-A9</f>
        <v>500</v>
      </c>
      <c r="B113" s="17">
        <f>B9</f>
        <v>103.3272</v>
      </c>
      <c r="C113" s="19" t="s">
        <v>248</v>
      </c>
      <c r="D113" s="47"/>
      <c r="E113" s="39">
        <v>0.7680555555555556</v>
      </c>
    </row>
    <row r="114" spans="1:5" ht="12.75">
      <c r="A114" s="17">
        <f>A57-A8</f>
        <v>514</v>
      </c>
      <c r="B114" s="17">
        <f>B8</f>
        <v>10.972800000000001</v>
      </c>
      <c r="C114" s="19" t="s">
        <v>247</v>
      </c>
      <c r="D114">
        <v>37</v>
      </c>
      <c r="E114" s="39">
        <v>0.7819444444444444</v>
      </c>
    </row>
    <row r="115" spans="1:5" ht="12.75">
      <c r="A115" s="17">
        <f>A57-A7</f>
        <v>530</v>
      </c>
      <c r="B115" s="17">
        <f>B7</f>
        <v>15.24</v>
      </c>
      <c r="C115" s="19" t="s">
        <v>296</v>
      </c>
      <c r="D115" s="47" t="s">
        <v>286</v>
      </c>
      <c r="E115" s="39">
        <v>0.7923611111111111</v>
      </c>
    </row>
    <row r="116" spans="1:5" ht="12.75">
      <c r="A116" s="17">
        <f>A57-A6</f>
        <v>538</v>
      </c>
      <c r="B116" s="17">
        <f>B6</f>
        <v>28.041600000000003</v>
      </c>
      <c r="C116" s="19" t="s">
        <v>295</v>
      </c>
      <c r="D116" s="47" t="s">
        <v>286</v>
      </c>
      <c r="E116" s="39">
        <v>0.7979166666666667</v>
      </c>
    </row>
    <row r="117" spans="1:5" ht="12.75">
      <c r="A117" s="17">
        <f>A57-A5</f>
        <v>573</v>
      </c>
      <c r="B117" s="17">
        <f>B5</f>
        <v>11.5824</v>
      </c>
      <c r="C117" s="19" t="s">
        <v>245</v>
      </c>
      <c r="D117" s="19" t="s">
        <v>246</v>
      </c>
      <c r="E117" s="39">
        <v>0.8333333333333334</v>
      </c>
    </row>
    <row r="118" spans="3:4" ht="12.75">
      <c r="C118" s="19" t="s">
        <v>290</v>
      </c>
      <c r="D118" s="19"/>
    </row>
    <row r="119" ht="12.75">
      <c r="C119" t="s">
        <v>377</v>
      </c>
    </row>
    <row r="120" ht="12.75">
      <c r="C120" s="19" t="s">
        <v>375</v>
      </c>
    </row>
    <row r="122" spans="1:10" ht="12.75">
      <c r="A122" s="50" t="s">
        <v>2</v>
      </c>
      <c r="B122" s="36" t="s">
        <v>222</v>
      </c>
      <c r="C122" s="42" t="s">
        <v>237</v>
      </c>
      <c r="D122" s="19"/>
      <c r="E122" s="57">
        <v>1</v>
      </c>
      <c r="F122" s="57">
        <v>2</v>
      </c>
      <c r="G122" s="57">
        <v>3</v>
      </c>
      <c r="I122" s="57">
        <v>1</v>
      </c>
      <c r="J122" s="57">
        <v>2</v>
      </c>
    </row>
    <row r="123" spans="1:10" ht="12.75">
      <c r="A123" s="16"/>
      <c r="C123" s="42" t="s">
        <v>378</v>
      </c>
      <c r="D123" s="19"/>
      <c r="E123" s="23" t="s">
        <v>379</v>
      </c>
      <c r="F123" s="23" t="s">
        <v>379</v>
      </c>
      <c r="G123" s="23" t="s">
        <v>379</v>
      </c>
      <c r="I123" s="23" t="s">
        <v>335</v>
      </c>
      <c r="J123" s="23" t="s">
        <v>335</v>
      </c>
    </row>
    <row r="124" spans="1:11" ht="12.75">
      <c r="A124" s="32">
        <v>0</v>
      </c>
      <c r="B124" s="17">
        <f>0.3048*38</f>
        <v>11.5824</v>
      </c>
      <c r="C124" s="19" t="s">
        <v>245</v>
      </c>
      <c r="D124" s="19" t="s">
        <v>241</v>
      </c>
      <c r="E124" s="39">
        <v>0.4583333333333333</v>
      </c>
      <c r="F124" s="39"/>
      <c r="I124" s="39">
        <f>E124</f>
        <v>0.4583333333333333</v>
      </c>
      <c r="J124" s="39"/>
      <c r="K124" s="39"/>
    </row>
    <row r="125" spans="1:11" ht="12.75">
      <c r="A125" s="46">
        <v>80.61</v>
      </c>
      <c r="B125" s="17">
        <f>0.3048*33</f>
        <v>10.0584</v>
      </c>
      <c r="C125" s="19" t="s">
        <v>270</v>
      </c>
      <c r="D125" s="19" t="s">
        <v>246</v>
      </c>
      <c r="E125" s="39">
        <v>0.5208333333333334</v>
      </c>
      <c r="F125" s="39"/>
      <c r="I125" s="39">
        <f>E125</f>
        <v>0.5208333333333334</v>
      </c>
      <c r="J125" s="39"/>
      <c r="K125" s="39"/>
    </row>
    <row r="126" spans="1:10" ht="12.75">
      <c r="A126" s="46">
        <v>80.61</v>
      </c>
      <c r="B126" s="17">
        <f>0.3048*33</f>
        <v>10.0584</v>
      </c>
      <c r="C126" s="19" t="s">
        <v>270</v>
      </c>
      <c r="D126" s="19" t="s">
        <v>241</v>
      </c>
      <c r="E126" s="39">
        <v>0.5555555555555556</v>
      </c>
      <c r="F126" s="39">
        <v>0.6805555555555556</v>
      </c>
      <c r="G126" s="39">
        <v>0.7777777777777778</v>
      </c>
      <c r="I126" s="39">
        <f>E126</f>
        <v>0.5555555555555556</v>
      </c>
      <c r="J126" s="39">
        <f>F126</f>
        <v>0.6805555555555556</v>
      </c>
    </row>
    <row r="127" spans="1:10" ht="12.75">
      <c r="A127" s="46">
        <v>100.56</v>
      </c>
      <c r="B127" s="17">
        <f>0.3048*21</f>
        <v>6.4008</v>
      </c>
      <c r="C127" s="19" t="s">
        <v>281</v>
      </c>
      <c r="D127" s="19" t="s">
        <v>246</v>
      </c>
      <c r="E127" s="39">
        <v>0.5798611111111112</v>
      </c>
      <c r="F127" s="39">
        <v>0.7048611111111112</v>
      </c>
      <c r="G127" s="39">
        <v>0.8020833333333334</v>
      </c>
      <c r="I127" s="39">
        <f>E127</f>
        <v>0.5798611111111112</v>
      </c>
      <c r="J127" s="39">
        <f>F127</f>
        <v>0.7048611111111112</v>
      </c>
    </row>
    <row r="128" spans="1:11" ht="12.75">
      <c r="A128" s="46"/>
      <c r="B128" s="17"/>
      <c r="C128" s="19"/>
      <c r="D128" s="19"/>
      <c r="E128" s="39"/>
      <c r="F128" s="39"/>
      <c r="I128" s="39"/>
      <c r="J128" s="39"/>
      <c r="K128" s="39"/>
    </row>
    <row r="129" ht="12.75">
      <c r="D129" s="19"/>
    </row>
    <row r="130" spans="1:10" ht="12.75">
      <c r="A130" s="50" t="s">
        <v>2</v>
      </c>
      <c r="B130" s="36" t="s">
        <v>222</v>
      </c>
      <c r="C130" s="42" t="s">
        <v>223</v>
      </c>
      <c r="D130" s="19"/>
      <c r="E130" s="57">
        <v>1</v>
      </c>
      <c r="F130" s="57">
        <v>2</v>
      </c>
      <c r="G130" s="57">
        <v>3</v>
      </c>
      <c r="I130" s="57">
        <v>1</v>
      </c>
      <c r="J130" s="57">
        <v>2</v>
      </c>
    </row>
    <row r="131" spans="1:10" ht="12.75">
      <c r="A131" s="16"/>
      <c r="C131" s="42" t="s">
        <v>378</v>
      </c>
      <c r="D131" s="19"/>
      <c r="E131" s="23" t="s">
        <v>379</v>
      </c>
      <c r="F131" s="23" t="s">
        <v>379</v>
      </c>
      <c r="G131" s="23" t="s">
        <v>379</v>
      </c>
      <c r="I131" s="23" t="s">
        <v>335</v>
      </c>
      <c r="J131" s="23" t="s">
        <v>335</v>
      </c>
    </row>
    <row r="132" spans="1:10" ht="12.75">
      <c r="A132" s="32">
        <f>A127-A127</f>
        <v>0</v>
      </c>
      <c r="B132" s="17">
        <f>B127</f>
        <v>6.4008</v>
      </c>
      <c r="C132" s="19" t="s">
        <v>281</v>
      </c>
      <c r="D132" s="19" t="s">
        <v>241</v>
      </c>
      <c r="E132" s="39">
        <v>0.6319444444444444</v>
      </c>
      <c r="F132" s="39">
        <v>0.7291666666666666</v>
      </c>
      <c r="G132" s="39">
        <v>0.8263888888888888</v>
      </c>
      <c r="I132" s="39">
        <f>E132</f>
        <v>0.6319444444444444</v>
      </c>
      <c r="J132" s="39">
        <v>0.7708333333333334</v>
      </c>
    </row>
    <row r="133" spans="1:10" ht="12.75">
      <c r="A133" s="32">
        <f>A127-A126</f>
        <v>19.950000000000003</v>
      </c>
      <c r="B133" s="17">
        <f>B126</f>
        <v>10.0584</v>
      </c>
      <c r="C133" s="19" t="s">
        <v>270</v>
      </c>
      <c r="D133" s="19" t="s">
        <v>246</v>
      </c>
      <c r="E133" s="39">
        <v>0.65625</v>
      </c>
      <c r="F133" s="39">
        <v>0.7534722222222222</v>
      </c>
      <c r="G133" s="39">
        <v>0.8506944444444444</v>
      </c>
      <c r="I133" s="39">
        <f>E133</f>
        <v>0.65625</v>
      </c>
      <c r="J133" s="39">
        <v>0.7951388888888888</v>
      </c>
    </row>
    <row r="134" spans="1:10" ht="12.75">
      <c r="A134" s="32">
        <f>A133</f>
        <v>19.950000000000003</v>
      </c>
      <c r="B134" s="48">
        <f>B133</f>
        <v>10.0584</v>
      </c>
      <c r="C134" s="19" t="s">
        <v>270</v>
      </c>
      <c r="D134" s="19" t="s">
        <v>241</v>
      </c>
      <c r="E134" s="39"/>
      <c r="F134" s="39"/>
      <c r="G134" s="39">
        <v>0.8576388888888888</v>
      </c>
      <c r="I134" s="39"/>
      <c r="J134" s="39">
        <v>0.8020833333333334</v>
      </c>
    </row>
    <row r="135" spans="1:10" ht="12.75">
      <c r="A135" s="32">
        <f>A127-A124</f>
        <v>100.56</v>
      </c>
      <c r="B135" s="17">
        <f>B124</f>
        <v>11.5824</v>
      </c>
      <c r="C135" s="19" t="s">
        <v>245</v>
      </c>
      <c r="D135" s="19" t="s">
        <v>246</v>
      </c>
      <c r="E135" s="39"/>
      <c r="F135" s="39"/>
      <c r="G135" s="39">
        <v>0.9201388888888888</v>
      </c>
      <c r="I135" s="39"/>
      <c r="J135" s="39">
        <v>0.8645833333333334</v>
      </c>
    </row>
    <row r="136" ht="12.75">
      <c r="C136" s="19"/>
    </row>
    <row r="138" spans="1:5" ht="12.75">
      <c r="A138" s="3">
        <v>1978</v>
      </c>
      <c r="C138" s="35" t="s">
        <v>221</v>
      </c>
      <c r="E138" s="36"/>
    </row>
    <row r="139" spans="1:3" ht="12.75">
      <c r="A139" s="36" t="s">
        <v>2</v>
      </c>
      <c r="B139" s="36" t="s">
        <v>222</v>
      </c>
      <c r="C139" s="35" t="s">
        <v>223</v>
      </c>
    </row>
    <row r="140" spans="3:5" ht="12.75">
      <c r="C140" s="35" t="s">
        <v>224</v>
      </c>
      <c r="E140" s="38"/>
    </row>
    <row r="141" spans="1:5" ht="12.75">
      <c r="A141" s="18">
        <v>0</v>
      </c>
      <c r="B141" s="18">
        <v>0</v>
      </c>
      <c r="C141" t="s">
        <v>225</v>
      </c>
      <c r="D141" t="s">
        <v>241</v>
      </c>
      <c r="E141" t="s">
        <v>226</v>
      </c>
    </row>
    <row r="142" spans="1:5" ht="12.75">
      <c r="A142" s="18">
        <v>2.73</v>
      </c>
      <c r="B142" s="18">
        <v>0</v>
      </c>
      <c r="C142" t="s">
        <v>227</v>
      </c>
      <c r="E142" s="39"/>
    </row>
    <row r="143" spans="1:5" ht="12.75">
      <c r="A143" s="18">
        <v>31.83</v>
      </c>
      <c r="B143" s="18">
        <f>0.3048*2885</f>
        <v>879.3480000000001</v>
      </c>
      <c r="C143" t="s">
        <v>228</v>
      </c>
      <c r="E143" s="40"/>
    </row>
    <row r="144" spans="1:5" ht="12.75">
      <c r="A144" s="18">
        <v>52.13</v>
      </c>
      <c r="B144" s="18">
        <f>0.3048*2916</f>
        <v>888.7968000000001</v>
      </c>
      <c r="C144" t="s">
        <v>229</v>
      </c>
      <c r="E144" s="40"/>
    </row>
    <row r="145" spans="1:5" ht="12.75">
      <c r="A145" s="18">
        <v>64.33</v>
      </c>
      <c r="B145" s="18">
        <f>0.3048*2158</f>
        <v>657.7584</v>
      </c>
      <c r="C145" t="s">
        <v>230</v>
      </c>
      <c r="E145" s="37"/>
    </row>
    <row r="146" spans="1:5" ht="12.75">
      <c r="A146" s="18">
        <v>107.63</v>
      </c>
      <c r="B146" s="18">
        <f>0.3048*2164</f>
        <v>659.5872</v>
      </c>
      <c r="C146" t="s">
        <v>116</v>
      </c>
      <c r="E146" s="40"/>
    </row>
    <row r="147" spans="1:5" ht="12.75">
      <c r="A147" s="18">
        <v>176.83</v>
      </c>
      <c r="B147" s="18">
        <f>0.3048*2079</f>
        <v>633.6792</v>
      </c>
      <c r="C147" t="s">
        <v>231</v>
      </c>
      <c r="D147" t="s">
        <v>246</v>
      </c>
      <c r="E147" s="40"/>
    </row>
    <row r="148" ht="12.75">
      <c r="C148" t="s">
        <v>232</v>
      </c>
    </row>
    <row r="149" ht="12.75">
      <c r="C149" t="s">
        <v>233</v>
      </c>
    </row>
    <row r="150" ht="12.75">
      <c r="C150" t="s">
        <v>234</v>
      </c>
    </row>
    <row r="151" ht="12.75">
      <c r="C151" t="s">
        <v>235</v>
      </c>
    </row>
    <row r="154" spans="3:5" ht="12.75">
      <c r="C154" s="35" t="s">
        <v>221</v>
      </c>
      <c r="E154" s="36"/>
    </row>
    <row r="155" spans="3:5" ht="12.75">
      <c r="C155" s="35"/>
      <c r="E155" s="36"/>
    </row>
    <row r="156" spans="1:3" ht="12.75">
      <c r="A156" s="36" t="s">
        <v>2</v>
      </c>
      <c r="B156" s="36" t="s">
        <v>222</v>
      </c>
      <c r="C156" s="35" t="s">
        <v>237</v>
      </c>
    </row>
    <row r="157" spans="3:5" ht="12.75">
      <c r="C157" s="35" t="s">
        <v>224</v>
      </c>
      <c r="E157" s="38"/>
    </row>
    <row r="158" spans="1:5" ht="12.75">
      <c r="A158" s="18">
        <f>A147-A147</f>
        <v>0</v>
      </c>
      <c r="B158" s="18">
        <f>0.3048*2079</f>
        <v>633.6792</v>
      </c>
      <c r="C158" t="s">
        <v>231</v>
      </c>
      <c r="D158" t="s">
        <v>241</v>
      </c>
      <c r="E158" t="s">
        <v>238</v>
      </c>
    </row>
    <row r="159" spans="1:5" ht="12.75">
      <c r="A159" s="34">
        <f>A147-A146</f>
        <v>69.20000000000002</v>
      </c>
      <c r="B159" s="18">
        <f>0.3048*2164</f>
        <v>659.5872</v>
      </c>
      <c r="C159" t="s">
        <v>116</v>
      </c>
      <c r="E159" s="40"/>
    </row>
    <row r="160" spans="1:5" ht="12.75">
      <c r="A160" s="34">
        <f>A147-A145</f>
        <v>112.50000000000001</v>
      </c>
      <c r="B160" s="18">
        <f>0.3048*2158</f>
        <v>657.7584</v>
      </c>
      <c r="C160" t="s">
        <v>230</v>
      </c>
      <c r="E160" s="40"/>
    </row>
    <row r="161" spans="1:5" ht="12.75">
      <c r="A161" s="34">
        <f>A147-A144</f>
        <v>124.70000000000002</v>
      </c>
      <c r="B161" s="18">
        <f>0.3048*2916</f>
        <v>888.7968000000001</v>
      </c>
      <c r="C161" t="s">
        <v>229</v>
      </c>
      <c r="E161" s="40"/>
    </row>
    <row r="162" spans="1:5" ht="12.75">
      <c r="A162" s="34">
        <f>A147-A143</f>
        <v>145</v>
      </c>
      <c r="B162" s="18">
        <f>0.3048*2885</f>
        <v>879.3480000000001</v>
      </c>
      <c r="C162" t="s">
        <v>228</v>
      </c>
      <c r="E162" s="40"/>
    </row>
    <row r="163" spans="1:5" ht="12.75">
      <c r="A163" s="34">
        <f>A147-A142</f>
        <v>174.10000000000002</v>
      </c>
      <c r="B163" s="18">
        <v>0</v>
      </c>
      <c r="C163" t="s">
        <v>227</v>
      </c>
      <c r="D163" t="s">
        <v>246</v>
      </c>
      <c r="E163" s="39"/>
    </row>
    <row r="164" spans="1:5" ht="12.75">
      <c r="A164" s="34">
        <f>A147-A141</f>
        <v>176.83</v>
      </c>
      <c r="B164" s="18">
        <v>0</v>
      </c>
      <c r="C164" t="s">
        <v>225</v>
      </c>
      <c r="D164" t="s">
        <v>246</v>
      </c>
      <c r="E164" s="40"/>
    </row>
    <row r="165" spans="3:5" ht="12.75">
      <c r="C165" t="s">
        <v>239</v>
      </c>
      <c r="E165" s="12"/>
    </row>
    <row r="166" ht="12.75">
      <c r="C166" t="s">
        <v>233</v>
      </c>
    </row>
    <row r="167" ht="12.75">
      <c r="C167" t="s">
        <v>234</v>
      </c>
    </row>
    <row r="168" ht="12.75">
      <c r="C168"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6.xml><?xml version="1.0" encoding="utf-8"?>
<worksheet xmlns="http://schemas.openxmlformats.org/spreadsheetml/2006/main" xmlns:r="http://schemas.openxmlformats.org/officeDocument/2006/relationships">
  <dimension ref="A1:G161"/>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6" ht="12.75">
      <c r="A1" s="3" t="s">
        <v>75</v>
      </c>
      <c r="C1" s="3" t="s">
        <v>34</v>
      </c>
      <c r="E1" s="41" t="s">
        <v>345</v>
      </c>
      <c r="F1" s="41" t="s">
        <v>345</v>
      </c>
    </row>
    <row r="2" spans="1:6" ht="12.75">
      <c r="A2" s="50" t="s">
        <v>2</v>
      </c>
      <c r="B2" s="36" t="s">
        <v>222</v>
      </c>
      <c r="C2" s="42" t="s">
        <v>223</v>
      </c>
      <c r="D2" s="19"/>
      <c r="E2" s="41" t="s">
        <v>57</v>
      </c>
      <c r="F2" s="41" t="s">
        <v>57</v>
      </c>
    </row>
    <row r="3" spans="1:6" ht="12.75">
      <c r="A3" s="16"/>
      <c r="C3" s="42" t="s">
        <v>380</v>
      </c>
      <c r="D3" s="19"/>
      <c r="E3">
        <v>6</v>
      </c>
      <c r="F3">
        <v>8</v>
      </c>
    </row>
    <row r="4" spans="1:6" ht="12.75">
      <c r="A4" s="16"/>
      <c r="C4" s="19"/>
      <c r="D4" s="19"/>
      <c r="E4" s="43" t="s">
        <v>36</v>
      </c>
      <c r="F4" s="43" t="s">
        <v>47</v>
      </c>
    </row>
    <row r="5" spans="1:6" ht="12.75">
      <c r="A5">
        <v>0</v>
      </c>
      <c r="B5" s="17">
        <f>0.3048*38</f>
        <v>11.5824</v>
      </c>
      <c r="C5" s="19" t="s">
        <v>245</v>
      </c>
      <c r="D5" s="19" t="s">
        <v>241</v>
      </c>
      <c r="E5" s="39">
        <v>0.375</v>
      </c>
      <c r="F5" s="39">
        <f>E5+10/24</f>
        <v>0.7916666666666667</v>
      </c>
    </row>
    <row r="6" spans="1:6" ht="12.75">
      <c r="A6">
        <v>4</v>
      </c>
      <c r="B6" s="17">
        <f>0.3048*40</f>
        <v>12.192</v>
      </c>
      <c r="C6" s="19" t="s">
        <v>292</v>
      </c>
      <c r="D6" s="47" t="s">
        <v>286</v>
      </c>
      <c r="E6" s="39">
        <v>0.38055555555555554</v>
      </c>
      <c r="F6" s="39">
        <f>E6+10/24</f>
        <v>0.7972222222222223</v>
      </c>
    </row>
    <row r="7" spans="1:6" ht="12.75">
      <c r="A7">
        <v>8</v>
      </c>
      <c r="B7" s="17">
        <f>0.3048*222</f>
        <v>67.6656</v>
      </c>
      <c r="C7" s="19" t="s">
        <v>293</v>
      </c>
      <c r="D7" s="47" t="s">
        <v>286</v>
      </c>
      <c r="E7" s="39">
        <v>0.3854166666666667</v>
      </c>
      <c r="F7" s="39">
        <f>E7+10/24</f>
        <v>0.8020833333333334</v>
      </c>
    </row>
    <row r="8" spans="1:6" ht="12.75">
      <c r="A8">
        <v>20</v>
      </c>
      <c r="B8" s="17">
        <f>0.3048*197</f>
        <v>60.0456</v>
      </c>
      <c r="C8" s="19" t="s">
        <v>294</v>
      </c>
      <c r="D8" s="47" t="s">
        <v>286</v>
      </c>
      <c r="E8" s="39">
        <v>0.3958333333333333</v>
      </c>
      <c r="F8" s="39">
        <f>E8+10/24</f>
        <v>0.8125</v>
      </c>
    </row>
    <row r="9" spans="1:6" ht="12.75">
      <c r="A9">
        <v>35</v>
      </c>
      <c r="B9" s="17">
        <f>0.3048*92</f>
        <v>28.041600000000003</v>
      </c>
      <c r="C9" s="19" t="s">
        <v>295</v>
      </c>
      <c r="D9" s="47" t="s">
        <v>286</v>
      </c>
      <c r="E9" s="39">
        <v>0.4097222222222222</v>
      </c>
      <c r="F9" s="39">
        <f>E9+10/24</f>
        <v>0.8263888888888888</v>
      </c>
    </row>
    <row r="10" spans="1:6" ht="12.75">
      <c r="A10">
        <v>43</v>
      </c>
      <c r="B10" s="17">
        <f>0.3048*50</f>
        <v>15.24</v>
      </c>
      <c r="C10" s="19" t="s">
        <v>296</v>
      </c>
      <c r="D10" s="47" t="s">
        <v>286</v>
      </c>
      <c r="E10" s="39">
        <v>0.4166666666666667</v>
      </c>
      <c r="F10" s="39">
        <f>E10+10/24</f>
        <v>0.8333333333333334</v>
      </c>
    </row>
    <row r="11" spans="1:6" ht="12.75">
      <c r="A11">
        <v>59</v>
      </c>
      <c r="B11" s="17">
        <f>0.3048*36</f>
        <v>10.972800000000001</v>
      </c>
      <c r="C11" s="19" t="s">
        <v>247</v>
      </c>
      <c r="D11" s="47" t="s">
        <v>286</v>
      </c>
      <c r="E11" s="39">
        <v>0.42916666666666664</v>
      </c>
      <c r="F11" s="39">
        <f>E11+10/24</f>
        <v>0.8458333333333333</v>
      </c>
    </row>
    <row r="12" spans="1:6" ht="12.75">
      <c r="A12">
        <v>73</v>
      </c>
      <c r="B12" s="17">
        <f>0.3048*339</f>
        <v>103.3272</v>
      </c>
      <c r="C12" s="19" t="s">
        <v>248</v>
      </c>
      <c r="D12" s="47"/>
      <c r="E12" s="39">
        <v>0.44583333333333336</v>
      </c>
      <c r="F12" s="39">
        <f>E12+10/24</f>
        <v>0.8625</v>
      </c>
    </row>
    <row r="13" spans="1:6" ht="12.75">
      <c r="A13">
        <v>84</v>
      </c>
      <c r="B13" s="17">
        <f>0.3048*300</f>
        <v>91.44</v>
      </c>
      <c r="C13" s="19" t="s">
        <v>297</v>
      </c>
      <c r="D13" s="47" t="s">
        <v>286</v>
      </c>
      <c r="E13" s="39">
        <v>0.4527777777777778</v>
      </c>
      <c r="F13" s="39">
        <f>E13+10/24</f>
        <v>0.8694444444444445</v>
      </c>
    </row>
    <row r="14" spans="1:6" ht="12.75">
      <c r="A14">
        <v>98</v>
      </c>
      <c r="B14" s="17">
        <f>0.3048*246</f>
        <v>74.9808</v>
      </c>
      <c r="C14" t="s">
        <v>298</v>
      </c>
      <c r="D14" s="47" t="s">
        <v>286</v>
      </c>
      <c r="E14" s="39">
        <v>0.4618055555555556</v>
      </c>
      <c r="F14" s="39">
        <f>E14+10/24</f>
        <v>0.8784722222222223</v>
      </c>
    </row>
    <row r="15" spans="1:6" ht="12.75">
      <c r="A15">
        <v>107</v>
      </c>
      <c r="B15" s="17">
        <f>0.3048*236</f>
        <v>71.9328</v>
      </c>
      <c r="C15" t="s">
        <v>299</v>
      </c>
      <c r="D15" s="47" t="s">
        <v>286</v>
      </c>
      <c r="E15" s="39">
        <v>0.4666666666666667</v>
      </c>
      <c r="F15" s="39">
        <f>E15+10/24</f>
        <v>0.8833333333333333</v>
      </c>
    </row>
    <row r="16" spans="1:6" ht="12.75">
      <c r="A16">
        <v>115</v>
      </c>
      <c r="B16" s="17">
        <f>0.3048*232</f>
        <v>70.7136</v>
      </c>
      <c r="C16" t="s">
        <v>300</v>
      </c>
      <c r="D16" s="47" t="s">
        <v>286</v>
      </c>
      <c r="E16" s="39">
        <v>0.47430555555555554</v>
      </c>
      <c r="F16" s="39">
        <f>E16+10/24</f>
        <v>0.8909722222222223</v>
      </c>
    </row>
    <row r="17" spans="1:6" ht="12.75">
      <c r="A17">
        <v>123</v>
      </c>
      <c r="B17" s="17">
        <f>0.3048*175</f>
        <v>53.34</v>
      </c>
      <c r="C17" t="s">
        <v>301</v>
      </c>
      <c r="D17" s="47" t="s">
        <v>286</v>
      </c>
      <c r="E17" s="39">
        <v>0.4777777777777778</v>
      </c>
      <c r="F17" s="39">
        <f>E17+10/24</f>
        <v>0.8944444444444445</v>
      </c>
    </row>
    <row r="18" spans="1:6" ht="12.75">
      <c r="A18">
        <v>128</v>
      </c>
      <c r="B18" s="17">
        <f>0.3048*236</f>
        <v>71.9328</v>
      </c>
      <c r="C18" t="s">
        <v>302</v>
      </c>
      <c r="D18" s="47" t="s">
        <v>286</v>
      </c>
      <c r="E18" s="39">
        <v>0.48333333333333334</v>
      </c>
      <c r="F18" s="39">
        <f>E18+10/24</f>
        <v>0.9</v>
      </c>
    </row>
    <row r="19" spans="1:6" ht="12.75">
      <c r="A19">
        <v>142</v>
      </c>
      <c r="B19" s="17">
        <f>0.3048*246</f>
        <v>74.9808</v>
      </c>
      <c r="C19" t="s">
        <v>303</v>
      </c>
      <c r="D19" s="47" t="s">
        <v>286</v>
      </c>
      <c r="E19" s="39">
        <v>0.49236111111111114</v>
      </c>
      <c r="F19" s="39">
        <f>E19+10/24</f>
        <v>0.9090277777777778</v>
      </c>
    </row>
    <row r="20" spans="1:6" ht="12.75">
      <c r="A20">
        <v>153</v>
      </c>
      <c r="B20" s="17">
        <f>0.3048*282</f>
        <v>85.95360000000001</v>
      </c>
      <c r="C20" t="s">
        <v>305</v>
      </c>
      <c r="D20" s="47" t="s">
        <v>286</v>
      </c>
      <c r="E20" s="39">
        <v>0.5013888888888889</v>
      </c>
      <c r="F20" s="39">
        <f>E20+10/24</f>
        <v>0.9180555555555556</v>
      </c>
    </row>
    <row r="21" spans="1:6" ht="12.75">
      <c r="A21">
        <v>163</v>
      </c>
      <c r="B21" s="17">
        <f>0.3048*328</f>
        <v>99.9744</v>
      </c>
      <c r="C21" t="s">
        <v>307</v>
      </c>
      <c r="D21" s="47" t="s">
        <v>286</v>
      </c>
      <c r="E21" s="39">
        <v>0.5076388888888889</v>
      </c>
      <c r="F21" s="39">
        <f>E21+10/24</f>
        <v>0.9243055555555555</v>
      </c>
    </row>
    <row r="22" spans="1:6" ht="12.75">
      <c r="A22">
        <v>181</v>
      </c>
      <c r="B22" s="17">
        <f>0.3048*354</f>
        <v>107.89920000000001</v>
      </c>
      <c r="C22" s="19" t="s">
        <v>249</v>
      </c>
      <c r="D22" s="19"/>
      <c r="E22" s="39">
        <v>0.5201388888888889</v>
      </c>
      <c r="F22" s="39">
        <f>E22+10/24</f>
        <v>0.9368055555555557</v>
      </c>
    </row>
    <row r="23" spans="1:6" ht="12.75">
      <c r="A23">
        <v>196</v>
      </c>
      <c r="B23" s="17">
        <f>0.3048*461</f>
        <v>140.5128</v>
      </c>
      <c r="C23" s="19" t="s">
        <v>309</v>
      </c>
      <c r="D23" s="47" t="s">
        <v>286</v>
      </c>
      <c r="E23" s="39">
        <v>0.5298611111111111</v>
      </c>
      <c r="F23" s="39">
        <f>E23+10/24</f>
        <v>0.9465277777777779</v>
      </c>
    </row>
    <row r="24" spans="1:6" ht="12.75">
      <c r="A24">
        <v>216</v>
      </c>
      <c r="B24" s="17">
        <f>0.3048*546</f>
        <v>166.4208</v>
      </c>
      <c r="C24" s="19" t="s">
        <v>250</v>
      </c>
      <c r="D24" s="47" t="s">
        <v>286</v>
      </c>
      <c r="E24" s="39">
        <v>0.5472222222222223</v>
      </c>
      <c r="F24" s="39">
        <f>E24+10/24</f>
        <v>0.963888888888889</v>
      </c>
    </row>
    <row r="25" spans="1:6" ht="12.75">
      <c r="A25">
        <v>231</v>
      </c>
      <c r="B25" s="17">
        <f>0.3048*621</f>
        <v>189.2808</v>
      </c>
      <c r="C25" s="19" t="s">
        <v>310</v>
      </c>
      <c r="D25" s="47" t="s">
        <v>286</v>
      </c>
      <c r="E25" s="39">
        <v>0.5590277777777778</v>
      </c>
      <c r="F25" s="39">
        <f>E25+10/24</f>
        <v>0.9756944444444444</v>
      </c>
    </row>
    <row r="26" spans="1:6" ht="12.75">
      <c r="A26">
        <v>240</v>
      </c>
      <c r="B26" s="17">
        <f>0.3048*731</f>
        <v>222.80880000000002</v>
      </c>
      <c r="C26" s="19" t="s">
        <v>311</v>
      </c>
      <c r="D26" s="47" t="s">
        <v>286</v>
      </c>
      <c r="E26" s="39">
        <v>0.5659722222222222</v>
      </c>
      <c r="F26" s="39">
        <f>E26+10/24</f>
        <v>0.9826388888888888</v>
      </c>
    </row>
    <row r="27" spans="1:6" ht="12.75">
      <c r="A27">
        <v>248</v>
      </c>
      <c r="B27" s="17">
        <f>0.3048*879</f>
        <v>267.9192</v>
      </c>
      <c r="C27" s="19" t="s">
        <v>312</v>
      </c>
      <c r="D27" s="47" t="s">
        <v>286</v>
      </c>
      <c r="E27" s="39">
        <v>0.5736111111111111</v>
      </c>
      <c r="F27" s="39">
        <f>E27+10/24</f>
        <v>0.9902777777777778</v>
      </c>
    </row>
    <row r="28" spans="1:6" ht="12.75">
      <c r="A28">
        <v>257</v>
      </c>
      <c r="B28" s="17">
        <f>0.3048*1280</f>
        <v>390.144</v>
      </c>
      <c r="C28" s="19" t="s">
        <v>313</v>
      </c>
      <c r="D28" s="47" t="s">
        <v>286</v>
      </c>
      <c r="E28" s="39">
        <v>0.5840277777777778</v>
      </c>
      <c r="F28" s="39">
        <f>E28+10/24</f>
        <v>1.0006944444444446</v>
      </c>
    </row>
    <row r="29" spans="1:6" ht="12.75">
      <c r="A29">
        <v>269</v>
      </c>
      <c r="B29" s="17">
        <f>0.3048*1688</f>
        <v>514.5024000000001</v>
      </c>
      <c r="C29" s="19" t="s">
        <v>252</v>
      </c>
      <c r="D29" s="47" t="s">
        <v>286</v>
      </c>
      <c r="E29" s="39">
        <v>0.5993055555555555</v>
      </c>
      <c r="F29" s="39">
        <f>E29+10/24</f>
        <v>1.0159722222222223</v>
      </c>
    </row>
    <row r="30" spans="1:6" ht="12.75">
      <c r="A30">
        <v>281</v>
      </c>
      <c r="B30" s="17">
        <f>0.3048*1456</f>
        <v>443.78880000000004</v>
      </c>
      <c r="C30" t="s">
        <v>314</v>
      </c>
      <c r="D30" s="47" t="s">
        <v>286</v>
      </c>
      <c r="E30" s="39">
        <v>0.6152777777777778</v>
      </c>
      <c r="F30" s="39">
        <f>E30+10/24</f>
        <v>1.0319444444444446</v>
      </c>
    </row>
    <row r="31" spans="1:6" ht="12.75">
      <c r="A31">
        <v>294</v>
      </c>
      <c r="B31" s="17">
        <f>0.3048*1954</f>
        <v>595.5792</v>
      </c>
      <c r="C31" t="s">
        <v>315</v>
      </c>
      <c r="D31" s="47" t="s">
        <v>286</v>
      </c>
      <c r="E31" s="39">
        <v>0.6256944444444444</v>
      </c>
      <c r="F31" s="39">
        <f>E31+10/24</f>
        <v>1.042361111111111</v>
      </c>
    </row>
    <row r="32" spans="1:6" ht="12.75">
      <c r="A32">
        <v>306</v>
      </c>
      <c r="B32" s="17">
        <f>0.3048*2127</f>
        <v>648.3096</v>
      </c>
      <c r="C32" t="s">
        <v>253</v>
      </c>
      <c r="D32" s="47" t="s">
        <v>286</v>
      </c>
      <c r="E32" s="39">
        <v>0.6347222222222222</v>
      </c>
      <c r="F32" s="39">
        <f>E32+10/24</f>
        <v>1.051388888888889</v>
      </c>
    </row>
    <row r="33" spans="1:6" ht="12.75">
      <c r="A33">
        <v>319</v>
      </c>
      <c r="B33" s="17">
        <f>0.3048*2337</f>
        <v>712.3176000000001</v>
      </c>
      <c r="C33" t="s">
        <v>125</v>
      </c>
      <c r="D33" s="47" t="s">
        <v>286</v>
      </c>
      <c r="E33" s="39">
        <v>0.6444444444444445</v>
      </c>
      <c r="F33" s="39">
        <f>E33+10/24</f>
        <v>1.0611111111111111</v>
      </c>
    </row>
    <row r="34" spans="1:6" ht="12.75">
      <c r="A34">
        <v>330</v>
      </c>
      <c r="B34" s="17">
        <f>0.3048*2212</f>
        <v>674.2176000000001</v>
      </c>
      <c r="C34" t="s">
        <v>254</v>
      </c>
      <c r="D34" s="47"/>
      <c r="E34" s="39">
        <v>0.6534722222222222</v>
      </c>
      <c r="F34" s="39">
        <f>E34+10/24</f>
        <v>1.070138888888889</v>
      </c>
    </row>
    <row r="35" spans="1:6" ht="12.75">
      <c r="A35">
        <v>342</v>
      </c>
      <c r="B35" s="17">
        <f>0.3048*2056</f>
        <v>626.6688</v>
      </c>
      <c r="C35" s="19" t="s">
        <v>316</v>
      </c>
      <c r="D35" s="47" t="s">
        <v>286</v>
      </c>
      <c r="E35" s="39">
        <v>0.6638888888888889</v>
      </c>
      <c r="F35" s="39">
        <f>E35+10/24</f>
        <v>1.0805555555555555</v>
      </c>
    </row>
    <row r="36" spans="1:6" ht="12.75">
      <c r="A36">
        <v>354</v>
      </c>
      <c r="B36" s="17">
        <f>0.3048*1957</f>
        <v>596.4936</v>
      </c>
      <c r="C36" t="s">
        <v>317</v>
      </c>
      <c r="D36" s="47" t="s">
        <v>286</v>
      </c>
      <c r="E36" s="39">
        <v>0.6756944444444445</v>
      </c>
      <c r="F36" s="39">
        <f>E36+10/24</f>
        <v>1.0923611111111111</v>
      </c>
    </row>
    <row r="37" spans="1:6" ht="12.75">
      <c r="A37">
        <v>369</v>
      </c>
      <c r="B37" s="17">
        <f>0.3048*1890</f>
        <v>576.072</v>
      </c>
      <c r="C37" t="s">
        <v>318</v>
      </c>
      <c r="D37" s="47" t="s">
        <v>286</v>
      </c>
      <c r="E37" s="39">
        <v>0.6895833333333333</v>
      </c>
      <c r="F37" s="39">
        <f>E37+10/24</f>
        <v>1.10625</v>
      </c>
    </row>
    <row r="38" spans="1:6" ht="12.75">
      <c r="A38">
        <v>376</v>
      </c>
      <c r="B38" s="17">
        <f>0.3048*1732</f>
        <v>527.9136</v>
      </c>
      <c r="C38" s="39" t="s">
        <v>255</v>
      </c>
      <c r="D38" s="47"/>
      <c r="E38" s="39">
        <v>0.6979166666666666</v>
      </c>
      <c r="F38" s="39">
        <f>E38+10/24</f>
        <v>1.1145833333333333</v>
      </c>
    </row>
    <row r="39" spans="1:6" ht="12.75">
      <c r="A39">
        <v>388</v>
      </c>
      <c r="B39" s="17">
        <f>0.3048*1432</f>
        <v>436.47360000000003</v>
      </c>
      <c r="C39" t="s">
        <v>319</v>
      </c>
      <c r="D39" s="47" t="s">
        <v>286</v>
      </c>
      <c r="E39" s="39">
        <v>0.7180555555555556</v>
      </c>
      <c r="F39" s="39">
        <f>E39+10/24</f>
        <v>1.1347222222222222</v>
      </c>
    </row>
    <row r="40" spans="1:6" ht="12.75">
      <c r="A40">
        <v>393</v>
      </c>
      <c r="B40" s="17">
        <f>0.3048*1368</f>
        <v>416.9664</v>
      </c>
      <c r="C40" s="19" t="s">
        <v>256</v>
      </c>
      <c r="D40" s="19" t="s">
        <v>246</v>
      </c>
      <c r="E40" s="39">
        <v>0.725</v>
      </c>
      <c r="F40" s="39">
        <f>E40+10/24</f>
        <v>1.1416666666666666</v>
      </c>
    </row>
    <row r="41" spans="1:6" ht="12.75">
      <c r="A41">
        <v>393</v>
      </c>
      <c r="B41" s="17">
        <f>0.3048*1368</f>
        <v>416.9664</v>
      </c>
      <c r="C41" s="19" t="s">
        <v>256</v>
      </c>
      <c r="D41" s="19" t="s">
        <v>241</v>
      </c>
      <c r="E41" s="39">
        <v>0.7319444444444444</v>
      </c>
      <c r="F41" s="39">
        <f>E41+10/24</f>
        <v>1.148611111111111</v>
      </c>
    </row>
    <row r="42" spans="1:6" ht="12.75">
      <c r="A42">
        <v>401</v>
      </c>
      <c r="B42" s="17">
        <f>0.3048*1176</f>
        <v>358.44480000000004</v>
      </c>
      <c r="C42" t="s">
        <v>320</v>
      </c>
      <c r="D42" s="47" t="s">
        <v>286</v>
      </c>
      <c r="E42" s="39">
        <v>0.7388888888888889</v>
      </c>
      <c r="F42" s="39">
        <f>E42+10/24</f>
        <v>1.1555555555555557</v>
      </c>
    </row>
    <row r="43" spans="1:6" ht="12.75">
      <c r="A43">
        <v>413</v>
      </c>
      <c r="B43" s="17">
        <f>0.3048*1006</f>
        <v>306.6288</v>
      </c>
      <c r="C43" t="s">
        <v>321</v>
      </c>
      <c r="D43" s="47" t="s">
        <v>286</v>
      </c>
      <c r="E43" s="39">
        <v>0.7479166666666667</v>
      </c>
      <c r="F43" s="39">
        <f>E43+10/24</f>
        <v>1.1645833333333333</v>
      </c>
    </row>
    <row r="44" spans="1:6" ht="12.75">
      <c r="A44">
        <v>429</v>
      </c>
      <c r="B44" s="17">
        <f>0.3048*810</f>
        <v>246.888</v>
      </c>
      <c r="C44" t="s">
        <v>322</v>
      </c>
      <c r="D44" s="47" t="s">
        <v>286</v>
      </c>
      <c r="E44" s="39">
        <v>0.7583333333333333</v>
      </c>
      <c r="F44" s="39">
        <f>E44+10/24</f>
        <v>1.175</v>
      </c>
    </row>
    <row r="45" spans="1:6" ht="12.75">
      <c r="A45">
        <v>448</v>
      </c>
      <c r="B45" s="17">
        <f>0.3048*537</f>
        <v>163.6776</v>
      </c>
      <c r="C45" t="s">
        <v>323</v>
      </c>
      <c r="D45" s="47" t="s">
        <v>286</v>
      </c>
      <c r="E45" s="39">
        <v>0.7722222222222223</v>
      </c>
      <c r="F45" s="39">
        <f>E45+10/24</f>
        <v>1.1888888888888889</v>
      </c>
    </row>
    <row r="46" spans="1:6" ht="12.75">
      <c r="A46">
        <v>462</v>
      </c>
      <c r="B46" s="17">
        <f>0.3048*433</f>
        <v>131.9784</v>
      </c>
      <c r="C46" t="s">
        <v>324</v>
      </c>
      <c r="D46" s="47" t="s">
        <v>286</v>
      </c>
      <c r="E46" s="39">
        <v>0.7826388888888889</v>
      </c>
      <c r="F46" s="39">
        <f>E46+10/24</f>
        <v>1.1993055555555556</v>
      </c>
    </row>
    <row r="47" spans="1:6" ht="12.75">
      <c r="A47">
        <v>479</v>
      </c>
      <c r="B47" s="17">
        <f>0.3048*362</f>
        <v>110.33760000000001</v>
      </c>
      <c r="C47" s="19" t="s">
        <v>257</v>
      </c>
      <c r="D47" s="47"/>
      <c r="E47" s="39">
        <v>0.7965277777777777</v>
      </c>
      <c r="F47" s="39">
        <f>E47+10/24</f>
        <v>1.2131944444444445</v>
      </c>
    </row>
    <row r="48" spans="1:6" ht="12.75">
      <c r="A48">
        <v>484</v>
      </c>
      <c r="B48" s="17">
        <f>0.3048*367</f>
        <v>111.86160000000001</v>
      </c>
      <c r="C48" s="19" t="s">
        <v>325</v>
      </c>
      <c r="D48" s="47" t="s">
        <v>286</v>
      </c>
      <c r="E48" s="39">
        <v>0.8034722222222223</v>
      </c>
      <c r="F48" s="39">
        <f>E48+10/24</f>
        <v>1.2201388888888889</v>
      </c>
    </row>
    <row r="49" spans="1:6" ht="12.75">
      <c r="A49">
        <v>493</v>
      </c>
      <c r="B49" s="17">
        <f>0.3048*368</f>
        <v>112.16640000000001</v>
      </c>
      <c r="C49" s="19" t="s">
        <v>326</v>
      </c>
      <c r="D49" s="47" t="s">
        <v>286</v>
      </c>
      <c r="E49" s="39">
        <v>0.8090277777777778</v>
      </c>
      <c r="F49" s="39">
        <f>E49+10/24</f>
        <v>1.2256944444444444</v>
      </c>
    </row>
    <row r="50" spans="1:6" ht="12.75">
      <c r="A50">
        <v>511</v>
      </c>
      <c r="B50" s="17">
        <f>0.3048*368</f>
        <v>112.16640000000001</v>
      </c>
      <c r="C50" s="19" t="s">
        <v>327</v>
      </c>
      <c r="D50" s="47" t="s">
        <v>286</v>
      </c>
      <c r="E50" s="39">
        <v>0.8201388888888889</v>
      </c>
      <c r="F50" s="39">
        <f>E50+10/24</f>
        <v>1.2368055555555555</v>
      </c>
    </row>
    <row r="51" spans="1:6" ht="12.75">
      <c r="A51">
        <v>523</v>
      </c>
      <c r="B51" s="17">
        <f>0.3048*406</f>
        <v>123.7488</v>
      </c>
      <c r="C51" s="19" t="s">
        <v>328</v>
      </c>
      <c r="D51" s="47" t="s">
        <v>286</v>
      </c>
      <c r="E51" s="39">
        <v>0.8277777777777777</v>
      </c>
      <c r="F51" s="39">
        <f>E51+10/24</f>
        <v>1.2444444444444445</v>
      </c>
    </row>
    <row r="52" spans="1:6" ht="12.75">
      <c r="A52">
        <v>541</v>
      </c>
      <c r="B52" s="17">
        <f>0.3048*465</f>
        <v>141.732</v>
      </c>
      <c r="C52" s="19" t="s">
        <v>329</v>
      </c>
      <c r="D52" s="47" t="s">
        <v>286</v>
      </c>
      <c r="E52" s="39">
        <v>0.8402777777777778</v>
      </c>
      <c r="F52" s="39">
        <f>E52+10/24</f>
        <v>1.2569444444444444</v>
      </c>
    </row>
    <row r="53" spans="1:6" ht="12.75">
      <c r="A53">
        <v>550</v>
      </c>
      <c r="B53" s="17">
        <f>0.3048*520</f>
        <v>158.496</v>
      </c>
      <c r="C53" s="19" t="s">
        <v>330</v>
      </c>
      <c r="D53" s="47" t="s">
        <v>286</v>
      </c>
      <c r="E53" s="39">
        <v>0.8472222222222222</v>
      </c>
      <c r="F53" s="39">
        <f>E53+10/24</f>
        <v>1.2638888888888888</v>
      </c>
    </row>
    <row r="54" spans="1:6" ht="12.75">
      <c r="A54">
        <v>561</v>
      </c>
      <c r="B54" s="17">
        <f>0.3048*609</f>
        <v>185.6232</v>
      </c>
      <c r="C54" s="19" t="s">
        <v>331</v>
      </c>
      <c r="D54" s="47" t="s">
        <v>286</v>
      </c>
      <c r="E54" s="39">
        <v>0.8576388888888888</v>
      </c>
      <c r="F54" s="39">
        <f>E54+10/24</f>
        <v>1.2743055555555556</v>
      </c>
    </row>
    <row r="55" spans="1:6" ht="12.75">
      <c r="A55">
        <v>573</v>
      </c>
      <c r="B55" s="17">
        <f>0.3048*448</f>
        <v>136.5504</v>
      </c>
      <c r="C55" s="19" t="s">
        <v>258</v>
      </c>
      <c r="D55" s="19" t="s">
        <v>246</v>
      </c>
      <c r="E55" s="39">
        <v>0.8715277777777778</v>
      </c>
      <c r="F55" s="39">
        <f>E55+10/24</f>
        <v>1.2881944444444444</v>
      </c>
    </row>
    <row r="56" spans="1:4" ht="12.75">
      <c r="A56" s="16"/>
      <c r="C56" s="19" t="s">
        <v>290</v>
      </c>
      <c r="D56" s="19"/>
    </row>
    <row r="57" spans="5:6" ht="12.75">
      <c r="E57" s="41" t="s">
        <v>345</v>
      </c>
      <c r="F57" s="41" t="s">
        <v>345</v>
      </c>
    </row>
    <row r="58" spans="1:6" ht="12.75">
      <c r="A58" s="50" t="s">
        <v>2</v>
      </c>
      <c r="B58" s="36" t="s">
        <v>222</v>
      </c>
      <c r="C58" s="42" t="s">
        <v>237</v>
      </c>
      <c r="D58" s="19"/>
      <c r="E58" s="41" t="s">
        <v>57</v>
      </c>
      <c r="F58" s="41" t="s">
        <v>57</v>
      </c>
    </row>
    <row r="59" spans="1:6" ht="12.75">
      <c r="A59" s="16"/>
      <c r="C59" s="42" t="s">
        <v>380</v>
      </c>
      <c r="D59" s="19"/>
      <c r="E59">
        <v>5</v>
      </c>
      <c r="F59">
        <v>7</v>
      </c>
    </row>
    <row r="60" spans="1:6" ht="12.75">
      <c r="A60" s="16"/>
      <c r="C60" s="19"/>
      <c r="D60" s="19"/>
      <c r="E60" s="43" t="s">
        <v>42</v>
      </c>
      <c r="F60" s="43" t="s">
        <v>39</v>
      </c>
    </row>
    <row r="61" spans="1:6" ht="12.75">
      <c r="A61" s="17">
        <f>A55-A55</f>
        <v>0</v>
      </c>
      <c r="B61" s="17">
        <f>B55-B55</f>
        <v>0</v>
      </c>
      <c r="C61" s="19" t="s">
        <v>258</v>
      </c>
      <c r="D61" s="19" t="s">
        <v>241</v>
      </c>
      <c r="E61" s="39">
        <v>0.375</v>
      </c>
      <c r="F61" s="39">
        <f>E61+14/24</f>
        <v>0.9583333333333334</v>
      </c>
    </row>
    <row r="62" spans="1:6" ht="12.75">
      <c r="A62" s="17">
        <f>A55-A54</f>
        <v>12</v>
      </c>
      <c r="B62" s="17">
        <f>B54</f>
        <v>185.6232</v>
      </c>
      <c r="C62" s="19" t="s">
        <v>331</v>
      </c>
      <c r="D62" s="47" t="s">
        <v>286</v>
      </c>
      <c r="E62" s="39">
        <v>0.3854166666666667</v>
      </c>
      <c r="F62" s="39">
        <f>E62+14/24</f>
        <v>0.96875</v>
      </c>
    </row>
    <row r="63" spans="1:6" ht="12.75">
      <c r="A63" s="17">
        <f>A55-A53</f>
        <v>23</v>
      </c>
      <c r="B63" s="17">
        <f>B53</f>
        <v>158.496</v>
      </c>
      <c r="C63" s="19" t="s">
        <v>330</v>
      </c>
      <c r="D63" s="47" t="s">
        <v>286</v>
      </c>
      <c r="E63" s="39">
        <v>0.3958333333333333</v>
      </c>
      <c r="F63" s="39">
        <f>E63+14/24</f>
        <v>0.9791666666666667</v>
      </c>
    </row>
    <row r="64" spans="1:6" ht="12.75">
      <c r="A64" s="17">
        <f>A55-A52</f>
        <v>32</v>
      </c>
      <c r="B64" s="17">
        <f>B52</f>
        <v>141.732</v>
      </c>
      <c r="C64" s="19" t="s">
        <v>329</v>
      </c>
      <c r="D64" s="47" t="s">
        <v>286</v>
      </c>
      <c r="E64" s="39">
        <v>0.4027777777777778</v>
      </c>
      <c r="F64" s="39">
        <f>E64+14/24</f>
        <v>0.9861111111111112</v>
      </c>
    </row>
    <row r="65" spans="1:6" ht="12.75">
      <c r="A65" s="17">
        <f>A55-A51</f>
        <v>50</v>
      </c>
      <c r="B65" s="17">
        <f>B51</f>
        <v>123.7488</v>
      </c>
      <c r="C65" s="19" t="s">
        <v>328</v>
      </c>
      <c r="D65" s="47" t="s">
        <v>286</v>
      </c>
      <c r="E65" s="39">
        <v>0.41458333333333336</v>
      </c>
      <c r="F65" s="39">
        <f>E65+14/24</f>
        <v>0.9979166666666668</v>
      </c>
    </row>
    <row r="66" spans="1:6" ht="12.75">
      <c r="A66" s="17">
        <f>A55-A50</f>
        <v>62</v>
      </c>
      <c r="B66" s="17">
        <f>B50</f>
        <v>112.16640000000001</v>
      </c>
      <c r="C66" s="19" t="s">
        <v>327</v>
      </c>
      <c r="D66" s="47" t="s">
        <v>286</v>
      </c>
      <c r="E66" s="39">
        <v>0.4222222222222222</v>
      </c>
      <c r="F66" s="39">
        <f>E66+14/24</f>
        <v>1.0055555555555555</v>
      </c>
    </row>
    <row r="67" spans="1:6" ht="12.75">
      <c r="A67" s="17">
        <f>A55-A49</f>
        <v>80</v>
      </c>
      <c r="B67" s="17">
        <f>B49</f>
        <v>112.16640000000001</v>
      </c>
      <c r="C67" s="19" t="s">
        <v>326</v>
      </c>
      <c r="D67" s="47" t="s">
        <v>286</v>
      </c>
      <c r="E67" s="39">
        <v>0.43333333333333335</v>
      </c>
      <c r="F67" s="39">
        <f>E67+14/24</f>
        <v>1.0166666666666666</v>
      </c>
    </row>
    <row r="68" spans="1:6" ht="12.75">
      <c r="A68" s="17">
        <f>A55-A48</f>
        <v>89</v>
      </c>
      <c r="B68" s="17">
        <f>B48</f>
        <v>111.86160000000001</v>
      </c>
      <c r="C68" s="19" t="s">
        <v>325</v>
      </c>
      <c r="D68" s="47" t="s">
        <v>286</v>
      </c>
      <c r="E68" s="39">
        <v>0.4388888888888889</v>
      </c>
      <c r="F68" s="39">
        <f>E68+14/24</f>
        <v>1.0222222222222221</v>
      </c>
    </row>
    <row r="69" spans="1:6" ht="12.75">
      <c r="A69" s="17">
        <f>A55-A47</f>
        <v>94</v>
      </c>
      <c r="B69" s="17">
        <f>B47</f>
        <v>110.33760000000001</v>
      </c>
      <c r="C69" s="19" t="s">
        <v>257</v>
      </c>
      <c r="D69" s="47"/>
      <c r="E69" s="39">
        <v>0.44722222222222224</v>
      </c>
      <c r="F69" s="39">
        <f>E69+14/24</f>
        <v>1.0305555555555557</v>
      </c>
    </row>
    <row r="70" spans="1:6" ht="12.75">
      <c r="A70" s="17">
        <f>A55-A46</f>
        <v>111</v>
      </c>
      <c r="B70" s="17">
        <f>B46</f>
        <v>131.9784</v>
      </c>
      <c r="C70" t="s">
        <v>324</v>
      </c>
      <c r="D70" s="47" t="s">
        <v>286</v>
      </c>
      <c r="E70" s="39">
        <v>0.4576388888888889</v>
      </c>
      <c r="F70" s="39">
        <f>E70+14/24</f>
        <v>1.0409722222222222</v>
      </c>
    </row>
    <row r="71" spans="1:6" ht="12.75">
      <c r="A71" s="17">
        <f>A55-A45</f>
        <v>125</v>
      </c>
      <c r="B71" s="17">
        <f>B45</f>
        <v>163.6776</v>
      </c>
      <c r="C71" t="s">
        <v>323</v>
      </c>
      <c r="D71" s="47" t="s">
        <v>286</v>
      </c>
      <c r="E71" s="39">
        <v>0.46805555555555556</v>
      </c>
      <c r="F71" s="39">
        <f>E71+14/24</f>
        <v>1.051388888888889</v>
      </c>
    </row>
    <row r="72" spans="1:6" ht="12.75">
      <c r="A72" s="17">
        <f>A55-A44</f>
        <v>144</v>
      </c>
      <c r="B72" s="17">
        <f>B44</f>
        <v>246.888</v>
      </c>
      <c r="C72" t="s">
        <v>322</v>
      </c>
      <c r="D72" s="47" t="s">
        <v>286</v>
      </c>
      <c r="E72" s="39">
        <v>0.48125</v>
      </c>
      <c r="F72" s="39">
        <f>E72+14/24</f>
        <v>1.0645833333333334</v>
      </c>
    </row>
    <row r="73" spans="1:6" ht="12.75">
      <c r="A73" s="17">
        <f>A55-A43</f>
        <v>160</v>
      </c>
      <c r="B73" s="17">
        <f>B43</f>
        <v>306.6288</v>
      </c>
      <c r="C73" t="s">
        <v>321</v>
      </c>
      <c r="D73" s="47" t="s">
        <v>286</v>
      </c>
      <c r="E73" s="39">
        <v>0.49166666666666664</v>
      </c>
      <c r="F73" s="39">
        <f>E73+14/24</f>
        <v>1.075</v>
      </c>
    </row>
    <row r="74" spans="1:6" ht="12.75">
      <c r="A74" s="17">
        <f>A55-A42</f>
        <v>172</v>
      </c>
      <c r="B74" s="17">
        <f>B42</f>
        <v>358.44480000000004</v>
      </c>
      <c r="C74" t="s">
        <v>320</v>
      </c>
      <c r="D74" s="47" t="s">
        <v>286</v>
      </c>
      <c r="E74" s="39">
        <v>0.5006944444444444</v>
      </c>
      <c r="F74" s="39">
        <f>E74+14/24</f>
        <v>1.0840277777777778</v>
      </c>
    </row>
    <row r="75" spans="1:6" ht="12.75">
      <c r="A75" s="17">
        <f>A55-A41</f>
        <v>180</v>
      </c>
      <c r="B75" s="17">
        <f>B41</f>
        <v>416.9664</v>
      </c>
      <c r="C75" s="19" t="s">
        <v>256</v>
      </c>
      <c r="D75" s="19" t="s">
        <v>246</v>
      </c>
      <c r="E75" s="39">
        <v>0.50625</v>
      </c>
      <c r="F75" s="39">
        <f>E75+14/24</f>
        <v>1.0895833333333333</v>
      </c>
    </row>
    <row r="76" spans="1:6" ht="12.75">
      <c r="A76" s="17">
        <f>A55-A40</f>
        <v>180</v>
      </c>
      <c r="B76" s="17">
        <f>B40</f>
        <v>416.9664</v>
      </c>
      <c r="C76" s="19" t="s">
        <v>256</v>
      </c>
      <c r="D76" s="19" t="s">
        <v>241</v>
      </c>
      <c r="E76" s="39">
        <v>0.5131944444444444</v>
      </c>
      <c r="F76" s="39">
        <f>E76+14/24</f>
        <v>1.0965277777777778</v>
      </c>
    </row>
    <row r="77" spans="1:6" ht="12.75">
      <c r="A77" s="17">
        <f>A55-A39</f>
        <v>185</v>
      </c>
      <c r="B77" s="17">
        <f>B39</f>
        <v>436.47360000000003</v>
      </c>
      <c r="C77" t="s">
        <v>319</v>
      </c>
      <c r="D77" s="47" t="s">
        <v>286</v>
      </c>
      <c r="E77" s="39">
        <v>0.5201388888888889</v>
      </c>
      <c r="F77" s="39">
        <f>E77+14/24</f>
        <v>1.1034722222222224</v>
      </c>
    </row>
    <row r="78" spans="1:6" ht="12.75">
      <c r="A78" s="17">
        <f>A55-A38</f>
        <v>197</v>
      </c>
      <c r="B78" s="17">
        <f>B38</f>
        <v>527.9136</v>
      </c>
      <c r="C78" s="39" t="s">
        <v>255</v>
      </c>
      <c r="D78" s="47"/>
      <c r="E78" s="39">
        <v>0.5416666666666666</v>
      </c>
      <c r="F78" s="39">
        <f>E78+14/24</f>
        <v>1.125</v>
      </c>
    </row>
    <row r="79" spans="1:6" ht="12.75">
      <c r="A79" s="17">
        <f>A55-A37</f>
        <v>204</v>
      </c>
      <c r="B79" s="17">
        <f>B37</f>
        <v>576.072</v>
      </c>
      <c r="C79" t="s">
        <v>318</v>
      </c>
      <c r="D79" s="47" t="s">
        <v>286</v>
      </c>
      <c r="E79" s="39">
        <v>0.5486111111111112</v>
      </c>
      <c r="F79" s="39">
        <f>E79+14/24</f>
        <v>1.1319444444444446</v>
      </c>
    </row>
    <row r="80" spans="1:6" ht="12.75">
      <c r="A80" s="17">
        <f>A55-A36</f>
        <v>219</v>
      </c>
      <c r="B80" s="17">
        <f>B36</f>
        <v>596.4936</v>
      </c>
      <c r="C80" t="s">
        <v>317</v>
      </c>
      <c r="D80" s="47" t="s">
        <v>286</v>
      </c>
      <c r="E80" s="39">
        <v>0.5618055555555556</v>
      </c>
      <c r="F80" s="39">
        <f>E80+14/24</f>
        <v>1.145138888888889</v>
      </c>
    </row>
    <row r="81" spans="1:6" ht="12.75">
      <c r="A81" s="17">
        <f>A55-A35</f>
        <v>231</v>
      </c>
      <c r="B81" s="17">
        <f>B35</f>
        <v>626.6688</v>
      </c>
      <c r="C81" s="19" t="s">
        <v>316</v>
      </c>
      <c r="D81" s="47" t="s">
        <v>286</v>
      </c>
      <c r="E81" s="39">
        <v>0.5722222222222222</v>
      </c>
      <c r="F81" s="39">
        <f>E81+14/24</f>
        <v>1.1555555555555554</v>
      </c>
    </row>
    <row r="82" spans="1:6" ht="12.75">
      <c r="A82" s="17">
        <f>A55-A34</f>
        <v>243</v>
      </c>
      <c r="B82" s="17">
        <f>B34</f>
        <v>674.2176000000001</v>
      </c>
      <c r="C82" t="s">
        <v>254</v>
      </c>
      <c r="D82" s="47"/>
      <c r="E82" s="39">
        <v>0.5826388888888889</v>
      </c>
      <c r="F82" s="39">
        <f>E82+14/24</f>
        <v>1.1659722222222224</v>
      </c>
    </row>
    <row r="83" spans="1:6" ht="12.75">
      <c r="A83" s="17">
        <f>A55-A33</f>
        <v>254</v>
      </c>
      <c r="B83" s="17">
        <f>B33</f>
        <v>712.3176000000001</v>
      </c>
      <c r="C83" t="s">
        <v>125</v>
      </c>
      <c r="D83" s="47" t="s">
        <v>286</v>
      </c>
      <c r="E83" s="39">
        <v>0.5916666666666667</v>
      </c>
      <c r="F83" s="39">
        <f>E83+14/24</f>
        <v>1.175</v>
      </c>
    </row>
    <row r="84" spans="1:6" ht="12.75">
      <c r="A84" s="17">
        <f>A55-A32</f>
        <v>267</v>
      </c>
      <c r="B84" s="17">
        <f>B32</f>
        <v>648.3096</v>
      </c>
      <c r="C84" t="s">
        <v>253</v>
      </c>
      <c r="D84" s="47" t="s">
        <v>286</v>
      </c>
      <c r="E84" s="39">
        <v>0.6006944444444444</v>
      </c>
      <c r="F84" s="39">
        <f>E84+14/24</f>
        <v>1.1840277777777777</v>
      </c>
    </row>
    <row r="85" spans="1:6" ht="12.75">
      <c r="A85" s="17">
        <f>A55-A31</f>
        <v>279</v>
      </c>
      <c r="B85" s="17">
        <f>B31</f>
        <v>595.5792</v>
      </c>
      <c r="C85" t="s">
        <v>315</v>
      </c>
      <c r="D85" s="47" t="s">
        <v>286</v>
      </c>
      <c r="E85" s="39">
        <v>0.6076388888888888</v>
      </c>
      <c r="F85" s="39">
        <f>E85+14/24</f>
        <v>1.1909722222222223</v>
      </c>
    </row>
    <row r="86" spans="1:6" ht="12.75">
      <c r="A86" s="17">
        <f>A55-A30</f>
        <v>292</v>
      </c>
      <c r="B86" s="17">
        <f>B30</f>
        <v>443.78880000000004</v>
      </c>
      <c r="C86" t="s">
        <v>314</v>
      </c>
      <c r="D86" s="47" t="s">
        <v>286</v>
      </c>
      <c r="E86" s="39">
        <v>0.6208333333333333</v>
      </c>
      <c r="F86" s="39">
        <f>E86+14/24</f>
        <v>1.2041666666666666</v>
      </c>
    </row>
    <row r="87" spans="1:6" ht="12.75">
      <c r="A87" s="17">
        <f>A55-A29</f>
        <v>304</v>
      </c>
      <c r="B87" s="17">
        <f>B29</f>
        <v>514.5024000000001</v>
      </c>
      <c r="C87" s="19" t="s">
        <v>252</v>
      </c>
      <c r="D87" s="47" t="s">
        <v>286</v>
      </c>
      <c r="E87" s="39">
        <v>0.6347222222222222</v>
      </c>
      <c r="F87" s="39">
        <f>E87+14/24</f>
        <v>1.2180555555555554</v>
      </c>
    </row>
    <row r="88" spans="1:6" ht="12.75">
      <c r="A88" s="17">
        <f>A55-A28</f>
        <v>316</v>
      </c>
      <c r="B88" s="17">
        <f>B28</f>
        <v>390.144</v>
      </c>
      <c r="C88" s="19" t="s">
        <v>313</v>
      </c>
      <c r="D88" s="47" t="s">
        <v>286</v>
      </c>
      <c r="E88" s="39">
        <v>0.6451388888888889</v>
      </c>
      <c r="F88" s="39">
        <f>E88+14/24</f>
        <v>1.2284722222222224</v>
      </c>
    </row>
    <row r="89" spans="1:6" ht="12.75">
      <c r="A89" s="17">
        <f>A55-A27</f>
        <v>325</v>
      </c>
      <c r="B89" s="17">
        <f>B27</f>
        <v>267.9192</v>
      </c>
      <c r="C89" s="19" t="s">
        <v>312</v>
      </c>
      <c r="D89" s="47" t="s">
        <v>286</v>
      </c>
      <c r="E89" s="39">
        <v>0.6534722222222222</v>
      </c>
      <c r="F89" s="39">
        <f>E89+14/24</f>
        <v>1.2368055555555557</v>
      </c>
    </row>
    <row r="90" spans="1:6" ht="12.75">
      <c r="A90" s="17">
        <f>A55-A26</f>
        <v>333</v>
      </c>
      <c r="B90" s="17">
        <f>B26</f>
        <v>222.80880000000002</v>
      </c>
      <c r="C90" s="19" t="s">
        <v>311</v>
      </c>
      <c r="D90" s="47" t="s">
        <v>286</v>
      </c>
      <c r="E90" s="39">
        <v>0.6604166666666667</v>
      </c>
      <c r="F90" s="39">
        <f>E90+14/24</f>
        <v>1.24375</v>
      </c>
    </row>
    <row r="91" spans="1:6" ht="12.75">
      <c r="A91" s="17">
        <f>A55-A25</f>
        <v>342</v>
      </c>
      <c r="B91" s="17">
        <f>B25</f>
        <v>189.2808</v>
      </c>
      <c r="C91" s="19" t="s">
        <v>310</v>
      </c>
      <c r="D91" s="47" t="s">
        <v>286</v>
      </c>
      <c r="E91" s="39">
        <v>0.6673611111111111</v>
      </c>
      <c r="F91" s="39">
        <f>E91+14/24</f>
        <v>1.2506944444444446</v>
      </c>
    </row>
    <row r="92" spans="1:6" ht="12.75">
      <c r="A92" s="17">
        <f>A55-A24</f>
        <v>357</v>
      </c>
      <c r="B92" s="17">
        <f>B24</f>
        <v>166.4208</v>
      </c>
      <c r="C92" s="19" t="s">
        <v>250</v>
      </c>
      <c r="D92" s="47" t="s">
        <v>286</v>
      </c>
      <c r="E92" s="39">
        <v>0.6840277777777778</v>
      </c>
      <c r="F92" s="39">
        <f>E92+14/24</f>
        <v>1.2673611111111112</v>
      </c>
    </row>
    <row r="93" spans="1:6" ht="12.75">
      <c r="A93" s="17">
        <f>A55-A23</f>
        <v>377</v>
      </c>
      <c r="B93" s="17">
        <f>B23</f>
        <v>140.5128</v>
      </c>
      <c r="C93" s="19" t="s">
        <v>309</v>
      </c>
      <c r="D93" s="47" t="s">
        <v>286</v>
      </c>
      <c r="E93" s="39">
        <v>0.6979166666666666</v>
      </c>
      <c r="F93" s="39">
        <f>E93+14/24</f>
        <v>1.28125</v>
      </c>
    </row>
    <row r="94" spans="1:6" ht="12.75">
      <c r="A94" s="17">
        <f>A55-A22</f>
        <v>392</v>
      </c>
      <c r="B94" s="17">
        <f>B22</f>
        <v>107.89920000000001</v>
      </c>
      <c r="C94" s="19" t="s">
        <v>249</v>
      </c>
      <c r="D94" s="19"/>
      <c r="E94" s="39">
        <v>0.7097222222222223</v>
      </c>
      <c r="F94" s="39">
        <f>E94+14/24</f>
        <v>1.2930555555555556</v>
      </c>
    </row>
    <row r="95" spans="1:6" ht="12.75">
      <c r="A95" s="17">
        <f>A55-A21</f>
        <v>410</v>
      </c>
      <c r="B95" s="17">
        <f>B21</f>
        <v>99.9744</v>
      </c>
      <c r="C95" t="s">
        <v>307</v>
      </c>
      <c r="D95" s="47" t="s">
        <v>286</v>
      </c>
      <c r="E95" s="39">
        <v>0.7215277777777778</v>
      </c>
      <c r="F95" s="39">
        <f>E95+14/24</f>
        <v>1.3048611111111112</v>
      </c>
    </row>
    <row r="96" spans="1:7" ht="12.75">
      <c r="A96" s="17">
        <f>A55-A20</f>
        <v>420</v>
      </c>
      <c r="B96" s="17">
        <f>B20</f>
        <v>85.95360000000001</v>
      </c>
      <c r="C96" t="s">
        <v>305</v>
      </c>
      <c r="D96" s="47" t="s">
        <v>286</v>
      </c>
      <c r="E96" s="39">
        <v>0.7284722222222222</v>
      </c>
      <c r="F96" s="39">
        <f>E96+14/24</f>
        <v>1.3118055555555554</v>
      </c>
      <c r="G96" s="32"/>
    </row>
    <row r="97" spans="1:7" ht="12.75">
      <c r="A97" s="17">
        <f>A55-A19</f>
        <v>431</v>
      </c>
      <c r="B97" s="17">
        <f>B19</f>
        <v>74.9808</v>
      </c>
      <c r="C97" t="s">
        <v>303</v>
      </c>
      <c r="D97" s="47" t="s">
        <v>286</v>
      </c>
      <c r="E97" s="39">
        <v>0.7368055555555556</v>
      </c>
      <c r="F97" s="39">
        <f>E97+14/24</f>
        <v>1.320138888888889</v>
      </c>
      <c r="G97" s="32"/>
    </row>
    <row r="98" spans="1:7" ht="12.75">
      <c r="A98" s="17">
        <f>A55-A18</f>
        <v>445</v>
      </c>
      <c r="B98" s="17">
        <f>B18</f>
        <v>71.9328</v>
      </c>
      <c r="C98" t="s">
        <v>302</v>
      </c>
      <c r="D98" s="47" t="s">
        <v>286</v>
      </c>
      <c r="E98" s="39">
        <v>0.7465277777777778</v>
      </c>
      <c r="F98" s="39">
        <f>E98+14/24</f>
        <v>1.3298611111111112</v>
      </c>
      <c r="G98" s="32"/>
    </row>
    <row r="99" spans="1:7" ht="12.75">
      <c r="A99" s="17">
        <f>A55-A17</f>
        <v>450</v>
      </c>
      <c r="B99" s="17">
        <f>B17</f>
        <v>53.34</v>
      </c>
      <c r="C99" t="s">
        <v>301</v>
      </c>
      <c r="D99" s="47" t="s">
        <v>286</v>
      </c>
      <c r="E99" s="39">
        <v>0.75</v>
      </c>
      <c r="F99" s="39">
        <f>E99+14/24</f>
        <v>1.3333333333333335</v>
      </c>
      <c r="G99" s="32"/>
    </row>
    <row r="100" spans="1:7" ht="12.75">
      <c r="A100" s="17">
        <f>A55-A16</f>
        <v>458</v>
      </c>
      <c r="B100" s="17">
        <f>B16</f>
        <v>70.7136</v>
      </c>
      <c r="C100" t="s">
        <v>300</v>
      </c>
      <c r="D100" s="47" t="s">
        <v>286</v>
      </c>
      <c r="E100" s="39">
        <v>0.7569444444444444</v>
      </c>
      <c r="F100" s="39">
        <f>E100+14/24</f>
        <v>1.3402777777777777</v>
      </c>
      <c r="G100" s="32"/>
    </row>
    <row r="101" spans="1:7" ht="12.75">
      <c r="A101" s="17">
        <f>A55-A15</f>
        <v>466</v>
      </c>
      <c r="B101" s="17">
        <f>B15</f>
        <v>71.9328</v>
      </c>
      <c r="C101" t="s">
        <v>299</v>
      </c>
      <c r="D101" s="47" t="s">
        <v>286</v>
      </c>
      <c r="E101" s="39">
        <v>0.7618055555555555</v>
      </c>
      <c r="F101" s="39">
        <f>E101+14/24</f>
        <v>1.3451388888888889</v>
      </c>
      <c r="G101" s="32"/>
    </row>
    <row r="102" spans="1:7" ht="12.75">
      <c r="A102" s="17">
        <f>A55-A14</f>
        <v>475</v>
      </c>
      <c r="B102" s="17">
        <f>B14</f>
        <v>74.9808</v>
      </c>
      <c r="C102" t="s">
        <v>298</v>
      </c>
      <c r="D102" s="47" t="s">
        <v>286</v>
      </c>
      <c r="E102" s="39">
        <v>0.7694444444444445</v>
      </c>
      <c r="F102" s="39">
        <f>E102+14/24</f>
        <v>1.3527777777777779</v>
      </c>
      <c r="G102" s="34"/>
    </row>
    <row r="103" spans="1:7" ht="12.75">
      <c r="A103" s="17">
        <f>A55-A13</f>
        <v>489</v>
      </c>
      <c r="B103" s="17">
        <f>B13</f>
        <v>91.44</v>
      </c>
      <c r="C103" s="19" t="s">
        <v>297</v>
      </c>
      <c r="D103" s="47" t="s">
        <v>286</v>
      </c>
      <c r="E103" s="39">
        <v>0.7784722222222222</v>
      </c>
      <c r="F103" s="39">
        <f>E103+14/24</f>
        <v>1.3618055555555557</v>
      </c>
      <c r="G103" s="32"/>
    </row>
    <row r="104" spans="1:7" ht="12.75">
      <c r="A104" s="17">
        <f>A55-A12</f>
        <v>500</v>
      </c>
      <c r="B104" s="17">
        <f>B12</f>
        <v>103.3272</v>
      </c>
      <c r="C104" s="19" t="s">
        <v>248</v>
      </c>
      <c r="D104" s="47"/>
      <c r="E104" s="39">
        <v>0.7868055555555555</v>
      </c>
      <c r="F104" s="39">
        <f>E104+14/24</f>
        <v>1.370138888888889</v>
      </c>
      <c r="G104" s="32"/>
    </row>
    <row r="105" spans="1:7" ht="12.75">
      <c r="A105" s="17">
        <f>A55-A11</f>
        <v>514</v>
      </c>
      <c r="B105" s="17">
        <f>B11</f>
        <v>10.972800000000001</v>
      </c>
      <c r="C105" s="19" t="s">
        <v>247</v>
      </c>
      <c r="D105" s="47" t="s">
        <v>286</v>
      </c>
      <c r="E105" s="39">
        <v>0.8041666666666667</v>
      </c>
      <c r="F105" s="39">
        <f>E105+14/24</f>
        <v>1.3875000000000002</v>
      </c>
      <c r="G105" s="32"/>
    </row>
    <row r="106" spans="1:7" ht="12.75">
      <c r="A106" s="17">
        <f>A55-A10</f>
        <v>530</v>
      </c>
      <c r="B106" s="17">
        <f>B10</f>
        <v>15.24</v>
      </c>
      <c r="C106" s="19" t="s">
        <v>296</v>
      </c>
      <c r="D106" s="47" t="s">
        <v>286</v>
      </c>
      <c r="E106" s="39">
        <v>0.8152777777777778</v>
      </c>
      <c r="F106" s="39">
        <f>E106+14/24</f>
        <v>1.3986111111111112</v>
      </c>
      <c r="G106" s="34"/>
    </row>
    <row r="107" spans="1:7" ht="12.75">
      <c r="A107" s="17">
        <f>A55-A9</f>
        <v>538</v>
      </c>
      <c r="B107" s="17">
        <f>B9</f>
        <v>28.041600000000003</v>
      </c>
      <c r="C107" s="19" t="s">
        <v>295</v>
      </c>
      <c r="D107" s="47" t="s">
        <v>286</v>
      </c>
      <c r="E107" s="39">
        <v>0.8229166666666666</v>
      </c>
      <c r="F107" s="39">
        <f>E107+14/24</f>
        <v>1.40625</v>
      </c>
      <c r="G107" s="32"/>
    </row>
    <row r="108" spans="1:7" ht="12.75">
      <c r="A108" s="17">
        <f>A55-A8</f>
        <v>553</v>
      </c>
      <c r="B108" s="17">
        <f>B8</f>
        <v>60.0456</v>
      </c>
      <c r="C108" s="19" t="s">
        <v>294</v>
      </c>
      <c r="D108" s="47" t="s">
        <v>286</v>
      </c>
      <c r="E108" s="39">
        <v>0.8368055555555556</v>
      </c>
      <c r="F108" s="39">
        <f>E108+14/24</f>
        <v>1.4201388888888888</v>
      </c>
      <c r="G108" s="32"/>
    </row>
    <row r="109" spans="1:7" ht="12.75">
      <c r="A109" s="17">
        <f>A55-A7</f>
        <v>565</v>
      </c>
      <c r="B109" s="17">
        <f>B7</f>
        <v>67.6656</v>
      </c>
      <c r="C109" s="19" t="s">
        <v>293</v>
      </c>
      <c r="D109" s="47" t="s">
        <v>286</v>
      </c>
      <c r="E109" s="39">
        <v>0.8479166666666667</v>
      </c>
      <c r="F109" s="39">
        <f>E109+14/24</f>
        <v>1.43125</v>
      </c>
      <c r="G109" s="32"/>
    </row>
    <row r="110" spans="1:7" ht="12.75">
      <c r="A110" s="17">
        <f>A55-A6</f>
        <v>569</v>
      </c>
      <c r="B110" s="17">
        <f>B6</f>
        <v>12.192</v>
      </c>
      <c r="C110" s="19" t="s">
        <v>292</v>
      </c>
      <c r="D110" s="47" t="s">
        <v>286</v>
      </c>
      <c r="E110" s="39">
        <v>0.8513888888888889</v>
      </c>
      <c r="F110" s="39">
        <v>0.43680555555555556</v>
      </c>
      <c r="G110" s="32"/>
    </row>
    <row r="111" spans="1:7" ht="12.75">
      <c r="A111" s="17">
        <f>A55-A5</f>
        <v>573</v>
      </c>
      <c r="B111" s="17">
        <f>B5</f>
        <v>11.5824</v>
      </c>
      <c r="C111" s="19" t="s">
        <v>245</v>
      </c>
      <c r="D111" s="19" t="s">
        <v>246</v>
      </c>
      <c r="E111" s="39">
        <v>0.8611111111111112</v>
      </c>
      <c r="F111" s="39">
        <f>E111+14/24</f>
        <v>1.4444444444444446</v>
      </c>
      <c r="G111" s="32"/>
    </row>
    <row r="112" spans="3:7" ht="12.75">
      <c r="C112" s="19" t="s">
        <v>290</v>
      </c>
      <c r="D112" s="19"/>
      <c r="G112" s="18"/>
    </row>
    <row r="115" spans="1:4" ht="12.75">
      <c r="A115" s="50" t="s">
        <v>2</v>
      </c>
      <c r="B115" s="36" t="s">
        <v>222</v>
      </c>
      <c r="C115" s="42" t="s">
        <v>237</v>
      </c>
      <c r="D115" s="19"/>
    </row>
    <row r="116" spans="1:4" ht="12.75">
      <c r="A116" s="16"/>
      <c r="C116" s="42" t="s">
        <v>380</v>
      </c>
      <c r="D116" s="19"/>
    </row>
    <row r="117" spans="1:5" ht="12.75">
      <c r="A117" s="32">
        <v>0</v>
      </c>
      <c r="B117" s="17">
        <f>0.3048*38</f>
        <v>11.5824</v>
      </c>
      <c r="C117" s="19" t="s">
        <v>245</v>
      </c>
      <c r="D117" s="19" t="s">
        <v>241</v>
      </c>
      <c r="E117" t="s">
        <v>238</v>
      </c>
    </row>
    <row r="118" spans="1:6" ht="12.75">
      <c r="A118" s="46">
        <v>80.61</v>
      </c>
      <c r="B118" s="17">
        <f>0.3048*33</f>
        <v>10.0584</v>
      </c>
      <c r="C118" s="19" t="s">
        <v>270</v>
      </c>
      <c r="D118" s="19" t="s">
        <v>246</v>
      </c>
      <c r="F118" s="39"/>
    </row>
    <row r="119" spans="1:6" ht="12.75">
      <c r="A119" s="46">
        <v>80.61</v>
      </c>
      <c r="B119" s="17">
        <f>0.3048*33</f>
        <v>10.0584</v>
      </c>
      <c r="C119" s="19" t="s">
        <v>270</v>
      </c>
      <c r="D119" s="19" t="s">
        <v>241</v>
      </c>
      <c r="F119" s="40"/>
    </row>
    <row r="120" spans="1:6" ht="12.75">
      <c r="A120" s="46">
        <v>100.56</v>
      </c>
      <c r="B120" s="17">
        <f>0.3048*21</f>
        <v>6.4008</v>
      </c>
      <c r="C120" s="19" t="s">
        <v>281</v>
      </c>
      <c r="D120" s="19" t="s">
        <v>246</v>
      </c>
      <c r="F120" s="40"/>
    </row>
    <row r="121" spans="1:6" ht="12.75">
      <c r="A121" s="46"/>
      <c r="B121" s="17"/>
      <c r="C121" s="19"/>
      <c r="D121" s="19"/>
      <c r="F121" s="37"/>
    </row>
    <row r="122" spans="4:6" ht="12.75">
      <c r="D122" s="19"/>
      <c r="F122" s="40"/>
    </row>
    <row r="123" spans="1:6" ht="12.75">
      <c r="A123" s="50" t="s">
        <v>2</v>
      </c>
      <c r="B123" s="36" t="s">
        <v>222</v>
      </c>
      <c r="C123" s="42" t="s">
        <v>223</v>
      </c>
      <c r="D123" s="19"/>
      <c r="F123" s="40"/>
    </row>
    <row r="124" spans="1:4" ht="12.75">
      <c r="A124" s="16"/>
      <c r="C124" s="42" t="s">
        <v>380</v>
      </c>
      <c r="D124" s="19"/>
    </row>
    <row r="125" spans="1:5" ht="12.75">
      <c r="A125" s="32">
        <f>A120-A120</f>
        <v>0</v>
      </c>
      <c r="B125" s="17">
        <f>B120</f>
        <v>6.4008</v>
      </c>
      <c r="C125" s="19" t="s">
        <v>281</v>
      </c>
      <c r="D125" s="19" t="s">
        <v>241</v>
      </c>
      <c r="E125" t="s">
        <v>226</v>
      </c>
    </row>
    <row r="126" spans="1:4" ht="12.75">
      <c r="A126" s="32">
        <f>A120-A119</f>
        <v>19.950000000000003</v>
      </c>
      <c r="B126" s="17">
        <f>B119</f>
        <v>10.0584</v>
      </c>
      <c r="C126" s="19" t="s">
        <v>270</v>
      </c>
      <c r="D126" s="19" t="s">
        <v>246</v>
      </c>
    </row>
    <row r="127" spans="1:4" ht="12.75">
      <c r="A127" s="32">
        <f>A126</f>
        <v>19.950000000000003</v>
      </c>
      <c r="B127" s="48">
        <f>B126</f>
        <v>10.0584</v>
      </c>
      <c r="C127" s="19" t="s">
        <v>270</v>
      </c>
      <c r="D127" s="19" t="s">
        <v>241</v>
      </c>
    </row>
    <row r="128" spans="1:4" ht="12.75">
      <c r="A128" s="32">
        <f>A120-A117</f>
        <v>100.56</v>
      </c>
      <c r="B128" s="17">
        <f>B117</f>
        <v>11.5824</v>
      </c>
      <c r="C128" s="19" t="s">
        <v>245</v>
      </c>
      <c r="D128" s="19" t="s">
        <v>246</v>
      </c>
    </row>
    <row r="129" ht="12.75">
      <c r="C129" s="19"/>
    </row>
    <row r="130" ht="12.75">
      <c r="F130" s="36"/>
    </row>
    <row r="131" spans="1:6" ht="12.75">
      <c r="A131" s="3" t="s">
        <v>75</v>
      </c>
      <c r="C131" s="35" t="s">
        <v>221</v>
      </c>
      <c r="E131" s="36"/>
      <c r="F131" s="36"/>
    </row>
    <row r="132" spans="1:3" ht="12.75">
      <c r="A132" s="36" t="s">
        <v>2</v>
      </c>
      <c r="B132" s="36" t="s">
        <v>222</v>
      </c>
      <c r="C132" s="35" t="s">
        <v>223</v>
      </c>
    </row>
    <row r="133" spans="3:6" ht="12.75">
      <c r="C133" s="35" t="s">
        <v>266</v>
      </c>
      <c r="E133" s="38"/>
      <c r="F133" s="38"/>
    </row>
    <row r="134" spans="1:5" ht="12.75">
      <c r="A134" s="18">
        <v>0</v>
      </c>
      <c r="B134" s="18">
        <v>0</v>
      </c>
      <c r="C134" t="s">
        <v>225</v>
      </c>
      <c r="D134" t="s">
        <v>241</v>
      </c>
      <c r="E134" t="s">
        <v>226</v>
      </c>
    </row>
    <row r="135" spans="1:5" ht="12.75">
      <c r="A135" s="18">
        <v>2.73</v>
      </c>
      <c r="B135" s="18">
        <v>0</v>
      </c>
      <c r="C135" t="s">
        <v>227</v>
      </c>
      <c r="E135" s="39"/>
    </row>
    <row r="136" spans="1:5" ht="12.75">
      <c r="A136" s="18">
        <v>31.83</v>
      </c>
      <c r="B136" s="18">
        <f>0.3048*2885</f>
        <v>879.3480000000001</v>
      </c>
      <c r="C136" t="s">
        <v>228</v>
      </c>
      <c r="E136" s="40"/>
    </row>
    <row r="137" spans="1:5" ht="12.75">
      <c r="A137" s="18">
        <v>52.13</v>
      </c>
      <c r="B137" s="18">
        <f>0.3048*2916</f>
        <v>888.7968000000001</v>
      </c>
      <c r="C137" t="s">
        <v>229</v>
      </c>
      <c r="E137" s="40"/>
    </row>
    <row r="138" spans="1:5" ht="12.75">
      <c r="A138" s="18">
        <v>64.33</v>
      </c>
      <c r="B138" s="18">
        <f>0.3048*2158</f>
        <v>657.7584</v>
      </c>
      <c r="C138" t="s">
        <v>230</v>
      </c>
      <c r="E138" s="37"/>
    </row>
    <row r="139" spans="1:5" ht="12.75">
      <c r="A139" s="18">
        <v>107.63</v>
      </c>
      <c r="B139" s="18">
        <f>0.3048*2164</f>
        <v>659.5872</v>
      </c>
      <c r="C139" t="s">
        <v>116</v>
      </c>
      <c r="E139" s="40"/>
    </row>
    <row r="140" spans="1:5" ht="12.75">
      <c r="A140" s="18">
        <v>176.83</v>
      </c>
      <c r="B140" s="18">
        <f>0.3048*2079</f>
        <v>633.6792</v>
      </c>
      <c r="C140" t="s">
        <v>231</v>
      </c>
      <c r="D140" t="s">
        <v>246</v>
      </c>
      <c r="E140" s="40"/>
    </row>
    <row r="141" ht="12.75">
      <c r="C141" t="s">
        <v>232</v>
      </c>
    </row>
    <row r="142" ht="12.75">
      <c r="C142" t="s">
        <v>233</v>
      </c>
    </row>
    <row r="143" ht="12.75">
      <c r="C143" t="s">
        <v>234</v>
      </c>
    </row>
    <row r="144" ht="12.75">
      <c r="C144" t="s">
        <v>235</v>
      </c>
    </row>
    <row r="147" spans="3:5" ht="12.75">
      <c r="C147" s="35" t="s">
        <v>221</v>
      </c>
      <c r="E147" s="36"/>
    </row>
    <row r="148" spans="3:5" ht="12.75">
      <c r="C148" s="35"/>
      <c r="E148" s="36"/>
    </row>
    <row r="149" spans="1:3" ht="12.75">
      <c r="A149" s="36" t="s">
        <v>2</v>
      </c>
      <c r="B149" s="36" t="s">
        <v>222</v>
      </c>
      <c r="C149" s="35" t="s">
        <v>237</v>
      </c>
    </row>
    <row r="150" spans="3:5" ht="12.75">
      <c r="C150" s="35" t="s">
        <v>266</v>
      </c>
      <c r="E150" s="38"/>
    </row>
    <row r="151" spans="1:5" ht="12.75">
      <c r="A151" s="18">
        <f>A140-A140</f>
        <v>0</v>
      </c>
      <c r="B151" s="18">
        <f>0.3048*2079</f>
        <v>633.6792</v>
      </c>
      <c r="C151" t="s">
        <v>231</v>
      </c>
      <c r="D151" t="s">
        <v>241</v>
      </c>
      <c r="E151" t="s">
        <v>238</v>
      </c>
    </row>
    <row r="152" spans="1:5" ht="12.75">
      <c r="A152" s="34">
        <f>A140-A139</f>
        <v>69.20000000000002</v>
      </c>
      <c r="B152" s="18">
        <f>0.3048*2164</f>
        <v>659.5872</v>
      </c>
      <c r="C152" t="s">
        <v>116</v>
      </c>
      <c r="E152" s="40"/>
    </row>
    <row r="153" spans="1:5" ht="12.75">
      <c r="A153" s="34">
        <f>A140-A138</f>
        <v>112.50000000000001</v>
      </c>
      <c r="B153" s="18">
        <f>0.3048*2158</f>
        <v>657.7584</v>
      </c>
      <c r="C153" t="s">
        <v>230</v>
      </c>
      <c r="E153" s="40"/>
    </row>
    <row r="154" spans="1:5" ht="12.75">
      <c r="A154" s="34">
        <f>A140-A137</f>
        <v>124.70000000000002</v>
      </c>
      <c r="B154" s="18">
        <f>0.3048*2916</f>
        <v>888.7968000000001</v>
      </c>
      <c r="C154" t="s">
        <v>229</v>
      </c>
      <c r="E154" s="40"/>
    </row>
    <row r="155" spans="1:5" ht="12.75">
      <c r="A155" s="34">
        <f>A140-A136</f>
        <v>145</v>
      </c>
      <c r="B155" s="18">
        <f>0.3048*2885</f>
        <v>879.3480000000001</v>
      </c>
      <c r="C155" t="s">
        <v>228</v>
      </c>
      <c r="E155" s="40"/>
    </row>
    <row r="156" spans="1:5" ht="12.75">
      <c r="A156" s="34">
        <f>A140-A135</f>
        <v>174.10000000000002</v>
      </c>
      <c r="B156" s="18">
        <v>0</v>
      </c>
      <c r="C156" t="s">
        <v>227</v>
      </c>
      <c r="D156" t="s">
        <v>246</v>
      </c>
      <c r="E156" s="39"/>
    </row>
    <row r="157" spans="1:5" ht="12.75">
      <c r="A157" s="34">
        <f>A140-A134</f>
        <v>176.83</v>
      </c>
      <c r="B157" s="18">
        <v>0</v>
      </c>
      <c r="C157" t="s">
        <v>225</v>
      </c>
      <c r="D157" t="s">
        <v>246</v>
      </c>
      <c r="E157" s="40"/>
    </row>
    <row r="158" spans="3:5" ht="12.75">
      <c r="C158" t="s">
        <v>239</v>
      </c>
      <c r="E158" s="12"/>
    </row>
    <row r="159" ht="12.75">
      <c r="C159" t="s">
        <v>233</v>
      </c>
    </row>
    <row r="160" ht="12.75">
      <c r="C160" t="s">
        <v>234</v>
      </c>
    </row>
    <row r="161" ht="12.75">
      <c r="C161"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7.xml><?xml version="1.0" encoding="utf-8"?>
<worksheet xmlns="http://schemas.openxmlformats.org/spreadsheetml/2006/main" xmlns:r="http://schemas.openxmlformats.org/officeDocument/2006/relationships">
  <dimension ref="A1:K170"/>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2.7109375" style="0" customWidth="1"/>
    <col min="5" max="16384" width="11.57421875" style="0" customWidth="1"/>
  </cols>
  <sheetData>
    <row r="1" spans="1:5" ht="12.75">
      <c r="A1" s="3">
        <v>1979</v>
      </c>
      <c r="C1" s="3" t="s">
        <v>34</v>
      </c>
      <c r="E1" s="41" t="s">
        <v>345</v>
      </c>
    </row>
    <row r="2" spans="1:5" ht="12.75">
      <c r="A2" s="50" t="s">
        <v>2</v>
      </c>
      <c r="B2" s="36" t="s">
        <v>222</v>
      </c>
      <c r="C2" s="42" t="s">
        <v>223</v>
      </c>
      <c r="D2" s="19"/>
      <c r="E2" s="41" t="s">
        <v>57</v>
      </c>
    </row>
    <row r="3" spans="1:5" ht="12.75">
      <c r="A3" s="16"/>
      <c r="C3" s="42" t="s">
        <v>381</v>
      </c>
      <c r="D3" s="19"/>
      <c r="E3">
        <v>6</v>
      </c>
    </row>
    <row r="4" spans="1:5" ht="12.75">
      <c r="A4" s="16"/>
      <c r="C4" s="19"/>
      <c r="D4" s="19"/>
      <c r="E4" s="43" t="s">
        <v>15</v>
      </c>
    </row>
    <row r="5" spans="1:5" ht="12.75">
      <c r="A5">
        <v>0</v>
      </c>
      <c r="B5" s="17">
        <f>0.3048*38</f>
        <v>11.5824</v>
      </c>
      <c r="C5" s="19" t="s">
        <v>245</v>
      </c>
      <c r="D5" s="19" t="s">
        <v>241</v>
      </c>
      <c r="E5" s="39">
        <v>0.3958333333333333</v>
      </c>
    </row>
    <row r="6" spans="1:5" ht="12.75">
      <c r="A6">
        <v>4</v>
      </c>
      <c r="B6" s="17">
        <f>0.3048*40</f>
        <v>12.192</v>
      </c>
      <c r="C6" s="19" t="s">
        <v>292</v>
      </c>
      <c r="D6" s="47" t="s">
        <v>286</v>
      </c>
      <c r="E6" s="36" t="s">
        <v>286</v>
      </c>
    </row>
    <row r="7" spans="1:5" ht="12.75">
      <c r="A7">
        <v>35</v>
      </c>
      <c r="B7" s="17">
        <f>0.3048*92</f>
        <v>28.041600000000003</v>
      </c>
      <c r="C7" s="19" t="s">
        <v>295</v>
      </c>
      <c r="D7" s="47" t="s">
        <v>286</v>
      </c>
      <c r="E7" s="39">
        <v>0.42916666666666664</v>
      </c>
    </row>
    <row r="8" spans="1:5" ht="12.75">
      <c r="A8">
        <v>43</v>
      </c>
      <c r="B8" s="17">
        <f>0.3048*50</f>
        <v>15.24</v>
      </c>
      <c r="C8" s="19" t="s">
        <v>296</v>
      </c>
      <c r="D8" s="47" t="s">
        <v>286</v>
      </c>
      <c r="E8" s="39">
        <v>0.43472222222222223</v>
      </c>
    </row>
    <row r="9" spans="1:5" ht="12.75">
      <c r="A9">
        <v>59</v>
      </c>
      <c r="B9" s="17">
        <f>0.3048*36</f>
        <v>10.972800000000001</v>
      </c>
      <c r="C9" s="19" t="s">
        <v>247</v>
      </c>
      <c r="D9">
        <v>26</v>
      </c>
      <c r="E9" s="39">
        <v>0.4444444444444444</v>
      </c>
    </row>
    <row r="10" spans="1:5" ht="12.75">
      <c r="A10">
        <v>73</v>
      </c>
      <c r="B10" s="17">
        <f>0.3048*339</f>
        <v>103.3272</v>
      </c>
      <c r="C10" s="19" t="s">
        <v>248</v>
      </c>
      <c r="D10" s="47"/>
      <c r="E10" s="39">
        <v>0.4583333333333333</v>
      </c>
    </row>
    <row r="11" spans="1:11" ht="12.75">
      <c r="A11">
        <v>83</v>
      </c>
      <c r="C11" t="s">
        <v>360</v>
      </c>
      <c r="D11">
        <v>26</v>
      </c>
      <c r="E11" s="36" t="s">
        <v>361</v>
      </c>
      <c r="K11" s="36"/>
    </row>
    <row r="12" spans="1:11" ht="12.75">
      <c r="A12">
        <v>98</v>
      </c>
      <c r="B12" s="17">
        <f>0.3048*246</f>
        <v>74.9808</v>
      </c>
      <c r="C12" t="s">
        <v>298</v>
      </c>
      <c r="D12">
        <v>26</v>
      </c>
      <c r="E12" s="39">
        <v>0.4736111111111111</v>
      </c>
      <c r="K12" s="36"/>
    </row>
    <row r="13" spans="1:11" ht="12.75">
      <c r="A13">
        <v>115</v>
      </c>
      <c r="B13" s="17">
        <f>0.3048*232</f>
        <v>70.7136</v>
      </c>
      <c r="C13" t="s">
        <v>300</v>
      </c>
      <c r="D13" s="47" t="s">
        <v>286</v>
      </c>
      <c r="E13" s="39">
        <v>0.4840277777777778</v>
      </c>
      <c r="K13" s="36"/>
    </row>
    <row r="14" spans="1:11" ht="12.75">
      <c r="A14">
        <v>123</v>
      </c>
      <c r="B14" s="17">
        <f>0.3048*175</f>
        <v>53.34</v>
      </c>
      <c r="C14" t="s">
        <v>301</v>
      </c>
      <c r="D14" s="47" t="s">
        <v>286</v>
      </c>
      <c r="E14" s="36" t="s">
        <v>286</v>
      </c>
      <c r="K14" s="36"/>
    </row>
    <row r="15" spans="1:11" ht="12.75">
      <c r="A15">
        <v>128</v>
      </c>
      <c r="B15" s="17">
        <f>0.3048*236</f>
        <v>71.9328</v>
      </c>
      <c r="C15" t="s">
        <v>302</v>
      </c>
      <c r="D15">
        <v>26</v>
      </c>
      <c r="E15" s="39">
        <v>0.49166666666666664</v>
      </c>
      <c r="K15" s="36"/>
    </row>
    <row r="16" spans="1:11" ht="12.75">
      <c r="A16">
        <v>142</v>
      </c>
      <c r="B16" s="17">
        <f>0.3048*246</f>
        <v>74.9808</v>
      </c>
      <c r="C16" t="s">
        <v>303</v>
      </c>
      <c r="D16">
        <v>26</v>
      </c>
      <c r="E16" s="39">
        <v>0.49930555555555556</v>
      </c>
      <c r="K16" s="36"/>
    </row>
    <row r="17" spans="1:11" ht="12.75">
      <c r="A17">
        <v>153</v>
      </c>
      <c r="B17" s="17">
        <f>0.3048*282</f>
        <v>85.95360000000001</v>
      </c>
      <c r="C17" t="s">
        <v>305</v>
      </c>
      <c r="D17" s="47" t="s">
        <v>286</v>
      </c>
      <c r="E17" s="39">
        <v>0.50625</v>
      </c>
      <c r="K17" s="36"/>
    </row>
    <row r="18" spans="1:11" ht="12.75">
      <c r="A18">
        <v>163</v>
      </c>
      <c r="B18" s="17">
        <f>0.3048*328</f>
        <v>99.9744</v>
      </c>
      <c r="C18" t="s">
        <v>307</v>
      </c>
      <c r="D18">
        <v>26</v>
      </c>
      <c r="E18" s="39">
        <v>0.5125</v>
      </c>
      <c r="K18" s="36"/>
    </row>
    <row r="19" spans="1:11" ht="12.75">
      <c r="A19">
        <v>172</v>
      </c>
      <c r="B19" s="17">
        <f>0.3048*310</f>
        <v>94.488</v>
      </c>
      <c r="C19" t="s">
        <v>308</v>
      </c>
      <c r="D19" s="47" t="s">
        <v>286</v>
      </c>
      <c r="E19" s="36" t="s">
        <v>286</v>
      </c>
      <c r="K19" s="36"/>
    </row>
    <row r="20" spans="1:11" ht="12.75">
      <c r="A20">
        <v>181</v>
      </c>
      <c r="B20" s="17">
        <f>0.3048*354</f>
        <v>107.89920000000001</v>
      </c>
      <c r="C20" s="19" t="s">
        <v>249</v>
      </c>
      <c r="D20" s="19"/>
      <c r="E20" s="39">
        <v>0.5236111111111111</v>
      </c>
      <c r="K20" s="36"/>
    </row>
    <row r="21" spans="1:11" ht="12.75">
      <c r="A21">
        <v>189</v>
      </c>
      <c r="C21" t="s">
        <v>362</v>
      </c>
      <c r="D21" t="s">
        <v>286</v>
      </c>
      <c r="E21" s="36" t="s">
        <v>286</v>
      </c>
      <c r="K21" s="36"/>
    </row>
    <row r="22" spans="1:11" ht="12.75">
      <c r="A22">
        <v>192</v>
      </c>
      <c r="C22" t="s">
        <v>363</v>
      </c>
      <c r="D22">
        <v>26</v>
      </c>
      <c r="E22" s="36" t="s">
        <v>361</v>
      </c>
      <c r="K22" s="36"/>
    </row>
    <row r="23" spans="1:5" ht="12.75">
      <c r="A23">
        <v>196</v>
      </c>
      <c r="B23" s="17">
        <f>0.3048*461</f>
        <v>140.5128</v>
      </c>
      <c r="C23" s="19" t="s">
        <v>309</v>
      </c>
      <c r="D23" s="47" t="s">
        <v>286</v>
      </c>
      <c r="E23" s="39">
        <v>0.5333333333333333</v>
      </c>
    </row>
    <row r="24" spans="1:5" ht="12.75">
      <c r="A24">
        <v>200</v>
      </c>
      <c r="C24" t="s">
        <v>364</v>
      </c>
      <c r="D24">
        <v>26</v>
      </c>
      <c r="E24" s="36" t="s">
        <v>361</v>
      </c>
    </row>
    <row r="25" spans="1:5" ht="12.75">
      <c r="A25">
        <v>201</v>
      </c>
      <c r="C25" t="s">
        <v>365</v>
      </c>
      <c r="D25">
        <v>26</v>
      </c>
      <c r="E25" s="36" t="s">
        <v>361</v>
      </c>
    </row>
    <row r="26" spans="1:5" ht="12.75">
      <c r="A26">
        <v>205</v>
      </c>
      <c r="C26" t="s">
        <v>366</v>
      </c>
      <c r="D26" t="s">
        <v>286</v>
      </c>
      <c r="E26" s="36" t="s">
        <v>286</v>
      </c>
    </row>
    <row r="27" spans="1:5" ht="12.75">
      <c r="A27">
        <v>210</v>
      </c>
      <c r="C27" t="s">
        <v>367</v>
      </c>
      <c r="D27" t="s">
        <v>286</v>
      </c>
      <c r="E27" s="36" t="s">
        <v>286</v>
      </c>
    </row>
    <row r="28" spans="1:5" ht="12.75">
      <c r="A28">
        <v>216</v>
      </c>
      <c r="B28" s="17">
        <f>0.3048*546</f>
        <v>166.4208</v>
      </c>
      <c r="C28" s="19" t="s">
        <v>250</v>
      </c>
      <c r="D28" s="47" t="s">
        <v>286</v>
      </c>
      <c r="E28" s="39">
        <v>0.5458333333333333</v>
      </c>
    </row>
    <row r="29" spans="1:5" ht="12.75">
      <c r="A29">
        <v>231</v>
      </c>
      <c r="B29" s="17">
        <f>0.3048*621</f>
        <v>189.2808</v>
      </c>
      <c r="C29" s="19" t="s">
        <v>310</v>
      </c>
      <c r="D29" s="47" t="s">
        <v>286</v>
      </c>
      <c r="E29" s="39">
        <v>0.5569444444444445</v>
      </c>
    </row>
    <row r="30" spans="1:5" ht="12.75">
      <c r="A30">
        <v>240</v>
      </c>
      <c r="B30" s="17">
        <f>0.3048*731</f>
        <v>222.80880000000002</v>
      </c>
      <c r="C30" s="19" t="s">
        <v>311</v>
      </c>
      <c r="D30" s="47" t="s">
        <v>286</v>
      </c>
      <c r="E30" s="39">
        <v>0.5638888888888889</v>
      </c>
    </row>
    <row r="31" spans="1:5" ht="12.75">
      <c r="A31">
        <v>244</v>
      </c>
      <c r="C31" t="s">
        <v>368</v>
      </c>
      <c r="D31">
        <v>26</v>
      </c>
      <c r="E31" s="36" t="s">
        <v>361</v>
      </c>
    </row>
    <row r="32" spans="1:5" ht="12.75">
      <c r="A32">
        <v>248</v>
      </c>
      <c r="B32" s="17">
        <f>0.3048*879</f>
        <v>267.9192</v>
      </c>
      <c r="C32" s="19" t="s">
        <v>312</v>
      </c>
      <c r="D32" s="47" t="s">
        <v>286</v>
      </c>
      <c r="E32" s="39">
        <v>0.5701388888888889</v>
      </c>
    </row>
    <row r="33" spans="1:5" ht="12.75">
      <c r="A33">
        <v>249</v>
      </c>
      <c r="C33" t="s">
        <v>369</v>
      </c>
      <c r="D33">
        <v>26</v>
      </c>
      <c r="E33" s="36" t="s">
        <v>361</v>
      </c>
    </row>
    <row r="34" spans="1:5" ht="12.75">
      <c r="A34">
        <v>251</v>
      </c>
      <c r="C34" t="s">
        <v>370</v>
      </c>
      <c r="D34">
        <v>26</v>
      </c>
      <c r="E34" s="36" t="s">
        <v>361</v>
      </c>
    </row>
    <row r="35" spans="1:5" ht="12.75">
      <c r="A35">
        <v>257</v>
      </c>
      <c r="B35" s="17">
        <f>0.3048*1280</f>
        <v>390.144</v>
      </c>
      <c r="C35" s="19" t="s">
        <v>313</v>
      </c>
      <c r="D35" s="47" t="s">
        <v>286</v>
      </c>
      <c r="E35" s="39">
        <v>0.5784722222222223</v>
      </c>
    </row>
    <row r="36" spans="1:5" ht="12.75">
      <c r="A36">
        <v>259</v>
      </c>
      <c r="C36" t="s">
        <v>371</v>
      </c>
      <c r="D36">
        <v>26</v>
      </c>
      <c r="E36" s="36" t="s">
        <v>361</v>
      </c>
    </row>
    <row r="37" spans="1:5" ht="12.75">
      <c r="A37">
        <v>269</v>
      </c>
      <c r="B37" s="17">
        <f>0.3048*1688</f>
        <v>514.5024000000001</v>
      </c>
      <c r="C37" s="19" t="s">
        <v>252</v>
      </c>
      <c r="D37">
        <v>26</v>
      </c>
      <c r="E37" s="39">
        <v>0.5888888888888889</v>
      </c>
    </row>
    <row r="38" spans="1:5" ht="12.75">
      <c r="A38">
        <v>281</v>
      </c>
      <c r="B38" s="17">
        <f>0.3048*1456</f>
        <v>443.78880000000004</v>
      </c>
      <c r="C38" t="s">
        <v>314</v>
      </c>
      <c r="D38">
        <v>26</v>
      </c>
      <c r="E38" s="39">
        <v>0.6020833333333333</v>
      </c>
    </row>
    <row r="39" spans="1:5" ht="12.75">
      <c r="A39">
        <v>294</v>
      </c>
      <c r="B39" s="17">
        <f>0.3048*1954</f>
        <v>595.5792</v>
      </c>
      <c r="C39" t="s">
        <v>315</v>
      </c>
      <c r="D39" s="47" t="s">
        <v>286</v>
      </c>
      <c r="E39" s="39">
        <v>0.6145833333333334</v>
      </c>
    </row>
    <row r="40" spans="1:5" ht="12.75">
      <c r="A40">
        <v>306</v>
      </c>
      <c r="B40" s="17">
        <f>0.3048*2127</f>
        <v>648.3096</v>
      </c>
      <c r="C40" t="s">
        <v>253</v>
      </c>
      <c r="D40" s="47" t="s">
        <v>286</v>
      </c>
      <c r="E40" s="39">
        <v>0.6215277777777778</v>
      </c>
    </row>
    <row r="41" spans="1:5" ht="12.75">
      <c r="A41">
        <v>319</v>
      </c>
      <c r="B41" s="17">
        <f>0.3048*2337</f>
        <v>712.3176000000001</v>
      </c>
      <c r="C41" t="s">
        <v>125</v>
      </c>
      <c r="D41">
        <v>26</v>
      </c>
      <c r="E41" s="39">
        <v>0.6298611111111111</v>
      </c>
    </row>
    <row r="42" spans="1:5" ht="12.75">
      <c r="A42">
        <v>330</v>
      </c>
      <c r="B42" s="17">
        <f>0.3048*2212</f>
        <v>674.2176000000001</v>
      </c>
      <c r="C42" t="s">
        <v>254</v>
      </c>
      <c r="D42" s="47"/>
      <c r="E42" s="39">
        <v>0.6375</v>
      </c>
    </row>
    <row r="43" spans="1:5" ht="12.75">
      <c r="A43">
        <v>342</v>
      </c>
      <c r="B43" s="17">
        <f>0.3048*2056</f>
        <v>626.6688</v>
      </c>
      <c r="C43" s="19" t="s">
        <v>316</v>
      </c>
      <c r="D43">
        <v>26</v>
      </c>
      <c r="E43" s="39">
        <v>0.6472222222222223</v>
      </c>
    </row>
    <row r="44" spans="1:5" ht="12.75">
      <c r="A44">
        <v>354</v>
      </c>
      <c r="B44" s="17">
        <f>0.3048*1957</f>
        <v>596.4936</v>
      </c>
      <c r="C44" t="s">
        <v>317</v>
      </c>
      <c r="D44" s="47" t="s">
        <v>286</v>
      </c>
      <c r="E44" s="39">
        <v>0.6576388888888889</v>
      </c>
    </row>
    <row r="45" spans="1:5" ht="12.75">
      <c r="A45">
        <v>367</v>
      </c>
      <c r="C45" t="s">
        <v>372</v>
      </c>
      <c r="D45">
        <v>26</v>
      </c>
      <c r="E45" s="36" t="s">
        <v>361</v>
      </c>
    </row>
    <row r="46" spans="1:5" ht="12.75">
      <c r="A46">
        <v>376</v>
      </c>
      <c r="B46" s="17">
        <f>0.3048*1732</f>
        <v>527.9136</v>
      </c>
      <c r="C46" s="39" t="s">
        <v>255</v>
      </c>
      <c r="D46" s="47"/>
      <c r="E46" s="39">
        <v>0.6847222222222222</v>
      </c>
    </row>
    <row r="47" spans="1:5" ht="12.75">
      <c r="A47">
        <v>388</v>
      </c>
      <c r="B47" s="17">
        <f>0.3048*1432</f>
        <v>436.47360000000003</v>
      </c>
      <c r="C47" t="s">
        <v>319</v>
      </c>
      <c r="D47">
        <v>26</v>
      </c>
      <c r="E47" s="39">
        <v>0.7013888888888888</v>
      </c>
    </row>
    <row r="48" spans="1:5" ht="12.75">
      <c r="A48">
        <v>393</v>
      </c>
      <c r="B48" s="17">
        <f>0.3048*1368</f>
        <v>416.9664</v>
      </c>
      <c r="C48" s="19" t="s">
        <v>256</v>
      </c>
      <c r="D48" s="19" t="s">
        <v>246</v>
      </c>
      <c r="E48" s="39">
        <v>0.7069444444444445</v>
      </c>
    </row>
    <row r="49" spans="1:5" ht="12.75">
      <c r="A49">
        <v>393</v>
      </c>
      <c r="B49" s="17">
        <f>0.3048*1368</f>
        <v>416.9664</v>
      </c>
      <c r="C49" s="19" t="s">
        <v>256</v>
      </c>
      <c r="D49" s="19" t="s">
        <v>241</v>
      </c>
      <c r="E49" s="39">
        <v>0.7090277777777778</v>
      </c>
    </row>
    <row r="50" spans="1:5" ht="12.75">
      <c r="A50">
        <v>413</v>
      </c>
      <c r="B50" s="17">
        <f>0.3048*1006</f>
        <v>306.6288</v>
      </c>
      <c r="C50" t="s">
        <v>321</v>
      </c>
      <c r="D50">
        <v>26</v>
      </c>
      <c r="E50" s="39">
        <v>0.7229166666666667</v>
      </c>
    </row>
    <row r="51" spans="1:5" ht="12.75">
      <c r="A51">
        <v>429</v>
      </c>
      <c r="B51" s="17">
        <f>0.3048*810</f>
        <v>246.888</v>
      </c>
      <c r="C51" t="s">
        <v>322</v>
      </c>
      <c r="D51">
        <v>26</v>
      </c>
      <c r="E51" s="39">
        <v>0.7326388888888888</v>
      </c>
    </row>
    <row r="52" spans="1:5" ht="12.75">
      <c r="A52">
        <v>448</v>
      </c>
      <c r="B52" s="17">
        <f>0.3048*537</f>
        <v>163.6776</v>
      </c>
      <c r="C52" t="s">
        <v>323</v>
      </c>
      <c r="D52" s="47" t="s">
        <v>286</v>
      </c>
      <c r="E52" s="39">
        <v>0.7430555555555556</v>
      </c>
    </row>
    <row r="53" spans="1:5" ht="12.75">
      <c r="A53">
        <v>479</v>
      </c>
      <c r="B53" s="17">
        <f>0.3048*362</f>
        <v>110.33760000000001</v>
      </c>
      <c r="C53" s="19" t="s">
        <v>257</v>
      </c>
      <c r="D53" s="47"/>
      <c r="E53" s="39">
        <v>0.7652777777777777</v>
      </c>
    </row>
    <row r="54" spans="1:5" ht="12.75">
      <c r="A54">
        <v>511</v>
      </c>
      <c r="B54" s="17">
        <f>0.3048*368</f>
        <v>112.16640000000001</v>
      </c>
      <c r="C54" s="19" t="s">
        <v>327</v>
      </c>
      <c r="D54" s="47" t="s">
        <v>286</v>
      </c>
      <c r="E54" s="39">
        <v>0.7875</v>
      </c>
    </row>
    <row r="55" spans="1:5" ht="12.75">
      <c r="A55">
        <v>523</v>
      </c>
      <c r="B55" s="17">
        <f>0.3048*406</f>
        <v>123.7488</v>
      </c>
      <c r="C55" s="19" t="s">
        <v>328</v>
      </c>
      <c r="D55" s="47" t="s">
        <v>286</v>
      </c>
      <c r="E55" s="39">
        <v>0.7951388888888888</v>
      </c>
    </row>
    <row r="56" spans="1:5" ht="12.75">
      <c r="A56">
        <v>527</v>
      </c>
      <c r="C56" t="s">
        <v>373</v>
      </c>
      <c r="D56">
        <v>26</v>
      </c>
      <c r="E56" s="36" t="s">
        <v>361</v>
      </c>
    </row>
    <row r="57" spans="1:5" ht="12.75">
      <c r="A57">
        <v>541</v>
      </c>
      <c r="B57" s="17">
        <f>0.3048*465</f>
        <v>141.732</v>
      </c>
      <c r="C57" s="19" t="s">
        <v>329</v>
      </c>
      <c r="D57" s="47" t="s">
        <v>286</v>
      </c>
      <c r="E57" s="39">
        <v>0.80625</v>
      </c>
    </row>
    <row r="58" spans="1:5" ht="12.75">
      <c r="A58">
        <v>573</v>
      </c>
      <c r="B58" s="17">
        <f>0.3048*448</f>
        <v>136.5504</v>
      </c>
      <c r="C58" s="19" t="s">
        <v>258</v>
      </c>
      <c r="D58" s="19" t="s">
        <v>246</v>
      </c>
      <c r="E58" s="39">
        <v>0.8333333333333334</v>
      </c>
    </row>
    <row r="59" spans="1:3" ht="12.75">
      <c r="A59" s="16"/>
      <c r="C59" s="19" t="s">
        <v>290</v>
      </c>
    </row>
    <row r="60" ht="12.75">
      <c r="C60" t="s">
        <v>374</v>
      </c>
    </row>
    <row r="61" ht="12.75">
      <c r="C61" s="19" t="s">
        <v>375</v>
      </c>
    </row>
    <row r="62" ht="12.75">
      <c r="E62" s="41" t="s">
        <v>345</v>
      </c>
    </row>
    <row r="63" spans="1:5" ht="12.75">
      <c r="A63" s="50" t="s">
        <v>2</v>
      </c>
      <c r="B63" s="36" t="s">
        <v>222</v>
      </c>
      <c r="C63" s="42" t="s">
        <v>237</v>
      </c>
      <c r="D63" s="19"/>
      <c r="E63" s="41" t="s">
        <v>57</v>
      </c>
    </row>
    <row r="64" spans="1:5" ht="12.75">
      <c r="A64" s="16"/>
      <c r="C64" s="42" t="s">
        <v>381</v>
      </c>
      <c r="D64" s="19"/>
      <c r="E64">
        <v>5</v>
      </c>
    </row>
    <row r="65" spans="1:5" ht="12.75">
      <c r="A65" s="16"/>
      <c r="C65" s="19"/>
      <c r="D65" s="19"/>
      <c r="E65" s="43" t="s">
        <v>15</v>
      </c>
    </row>
    <row r="66" spans="1:5" ht="12.75">
      <c r="A66" s="17">
        <f>A58-A58</f>
        <v>0</v>
      </c>
      <c r="B66" s="17">
        <f>B58-B58</f>
        <v>0</v>
      </c>
      <c r="C66" s="19" t="s">
        <v>258</v>
      </c>
      <c r="D66" s="19" t="s">
        <v>241</v>
      </c>
      <c r="E66" s="39">
        <v>0.3958333333333333</v>
      </c>
    </row>
    <row r="67" spans="1:5" ht="12.75">
      <c r="A67" s="17">
        <f>A58-A57</f>
        <v>32</v>
      </c>
      <c r="B67" s="17">
        <f>B57</f>
        <v>141.732</v>
      </c>
      <c r="C67" s="19" t="s">
        <v>329</v>
      </c>
      <c r="D67" s="47" t="s">
        <v>286</v>
      </c>
      <c r="E67" s="39">
        <v>0.4222222222222222</v>
      </c>
    </row>
    <row r="68" spans="1:5" ht="12.75">
      <c r="A68" s="18">
        <f>$A$58-A56</f>
        <v>46</v>
      </c>
      <c r="C68" s="17" t="str">
        <f>C56</f>
        <v>Milepost 442</v>
      </c>
      <c r="D68">
        <v>37</v>
      </c>
      <c r="E68" s="36" t="s">
        <v>376</v>
      </c>
    </row>
    <row r="69" spans="1:5" ht="12.75">
      <c r="A69" s="17">
        <f>A58-A55</f>
        <v>50</v>
      </c>
      <c r="B69" s="17">
        <f>B55</f>
        <v>123.7488</v>
      </c>
      <c r="C69" s="19" t="s">
        <v>328</v>
      </c>
      <c r="D69" s="47" t="s">
        <v>286</v>
      </c>
      <c r="E69" s="39">
        <v>0.43333333333333335</v>
      </c>
    </row>
    <row r="70" spans="1:5" ht="12.75">
      <c r="A70" s="17">
        <f>A58-A54</f>
        <v>62</v>
      </c>
      <c r="B70" s="17">
        <f>B54</f>
        <v>112.16640000000001</v>
      </c>
      <c r="C70" s="19" t="s">
        <v>327</v>
      </c>
      <c r="D70" s="47" t="s">
        <v>286</v>
      </c>
      <c r="E70" s="39">
        <v>0.4409722222222222</v>
      </c>
    </row>
    <row r="71" spans="1:5" ht="12.75">
      <c r="A71" s="17">
        <f>A58-A53</f>
        <v>94</v>
      </c>
      <c r="B71" s="17">
        <f>B53</f>
        <v>110.33760000000001</v>
      </c>
      <c r="C71" s="19" t="s">
        <v>257</v>
      </c>
      <c r="D71" s="47"/>
      <c r="E71" s="39">
        <v>0.4638888888888889</v>
      </c>
    </row>
    <row r="72" spans="1:5" ht="12.75">
      <c r="A72" s="17">
        <f>A58-A52</f>
        <v>125</v>
      </c>
      <c r="B72" s="17">
        <f>B52</f>
        <v>163.6776</v>
      </c>
      <c r="C72" t="s">
        <v>323</v>
      </c>
      <c r="D72" s="47" t="s">
        <v>286</v>
      </c>
      <c r="E72" s="39">
        <v>0.4826388888888889</v>
      </c>
    </row>
    <row r="73" spans="1:5" ht="12.75">
      <c r="A73" s="17">
        <f>A58-A51</f>
        <v>144</v>
      </c>
      <c r="B73" s="17">
        <f>B51</f>
        <v>246.888</v>
      </c>
      <c r="C73" t="s">
        <v>322</v>
      </c>
      <c r="D73">
        <v>37</v>
      </c>
      <c r="E73" s="39">
        <v>0.4951388888888889</v>
      </c>
    </row>
    <row r="74" spans="1:5" ht="12.75">
      <c r="A74" s="17">
        <f>A58-A50</f>
        <v>160</v>
      </c>
      <c r="B74" s="17">
        <f>B50</f>
        <v>306.6288</v>
      </c>
      <c r="C74" t="s">
        <v>321</v>
      </c>
      <c r="D74">
        <v>37</v>
      </c>
      <c r="E74" s="39">
        <v>0.5041666666666667</v>
      </c>
    </row>
    <row r="75" spans="1:5" ht="12.75">
      <c r="A75" s="17">
        <f>A58-A49</f>
        <v>180</v>
      </c>
      <c r="B75" s="17">
        <f>B49</f>
        <v>416.9664</v>
      </c>
      <c r="C75" s="19" t="s">
        <v>256</v>
      </c>
      <c r="D75" s="19" t="s">
        <v>246</v>
      </c>
      <c r="E75" s="39">
        <v>0.5173611111111112</v>
      </c>
    </row>
    <row r="76" spans="1:5" ht="12.75">
      <c r="A76" s="17">
        <f>A58-A48</f>
        <v>180</v>
      </c>
      <c r="B76" s="17">
        <f>B48</f>
        <v>416.9664</v>
      </c>
      <c r="C76" s="19" t="s">
        <v>256</v>
      </c>
      <c r="D76" s="19" t="s">
        <v>241</v>
      </c>
      <c r="E76" s="39">
        <v>0.5180555555555556</v>
      </c>
    </row>
    <row r="77" spans="1:5" ht="12.75">
      <c r="A77" s="17">
        <f>A58-A47</f>
        <v>185</v>
      </c>
      <c r="B77" s="17">
        <f>B47</f>
        <v>436.47360000000003</v>
      </c>
      <c r="C77" t="s">
        <v>319</v>
      </c>
      <c r="D77">
        <v>37</v>
      </c>
      <c r="E77" s="39">
        <v>0.5243055555555556</v>
      </c>
    </row>
    <row r="78" spans="1:5" ht="12.75">
      <c r="A78" s="17">
        <f>A58-A46</f>
        <v>197</v>
      </c>
      <c r="B78" s="17">
        <f>B46</f>
        <v>527.9136</v>
      </c>
      <c r="C78" s="39" t="s">
        <v>255</v>
      </c>
      <c r="D78" s="47"/>
      <c r="E78" s="39">
        <v>0.5486111111111112</v>
      </c>
    </row>
    <row r="79" spans="1:5" ht="12.75">
      <c r="A79" s="18">
        <f>$A$58-A45</f>
        <v>206</v>
      </c>
      <c r="C79" s="17" t="str">
        <f>C45</f>
        <v>Milepost 342.7</v>
      </c>
      <c r="D79">
        <v>37</v>
      </c>
      <c r="E79" s="36" t="s">
        <v>376</v>
      </c>
    </row>
    <row r="80" spans="1:5" ht="12.75">
      <c r="A80" s="17">
        <f>A58-A44</f>
        <v>219</v>
      </c>
      <c r="B80" s="17">
        <f>B44</f>
        <v>596.4936</v>
      </c>
      <c r="C80" t="s">
        <v>317</v>
      </c>
      <c r="D80" s="47" t="s">
        <v>286</v>
      </c>
      <c r="E80" s="39">
        <v>0.56875</v>
      </c>
    </row>
    <row r="81" spans="1:5" ht="12.75">
      <c r="A81" s="17">
        <f>A58-A43</f>
        <v>231</v>
      </c>
      <c r="B81" s="17">
        <f>B43</f>
        <v>626.6688</v>
      </c>
      <c r="C81" s="19" t="s">
        <v>316</v>
      </c>
      <c r="D81">
        <v>37</v>
      </c>
      <c r="E81" s="39">
        <v>0.5791666666666667</v>
      </c>
    </row>
    <row r="82" spans="1:5" ht="12.75">
      <c r="A82" s="17">
        <f>A58-A42</f>
        <v>243</v>
      </c>
      <c r="B82" s="17">
        <f>B42</f>
        <v>674.2176000000001</v>
      </c>
      <c r="C82" t="s">
        <v>254</v>
      </c>
      <c r="D82" s="47"/>
      <c r="E82" s="39">
        <v>0.5895833333333333</v>
      </c>
    </row>
    <row r="83" spans="1:5" ht="12.75">
      <c r="A83" s="17">
        <f>A58-A41</f>
        <v>254</v>
      </c>
      <c r="B83" s="17">
        <f>B41</f>
        <v>712.3176000000001</v>
      </c>
      <c r="C83" t="s">
        <v>125</v>
      </c>
      <c r="D83">
        <v>37</v>
      </c>
      <c r="E83" s="39">
        <v>0.5972222222222222</v>
      </c>
    </row>
    <row r="84" spans="1:5" ht="12.75">
      <c r="A84" s="17">
        <f>A58-A40</f>
        <v>267</v>
      </c>
      <c r="B84" s="17">
        <f>B40</f>
        <v>648.3096</v>
      </c>
      <c r="C84" t="s">
        <v>253</v>
      </c>
      <c r="D84" s="47" t="s">
        <v>286</v>
      </c>
      <c r="E84" s="39">
        <v>0.6055555555555555</v>
      </c>
    </row>
    <row r="85" spans="1:5" ht="12.75">
      <c r="A85" s="17">
        <f>A58-A39</f>
        <v>279</v>
      </c>
      <c r="B85" s="17">
        <f>B39</f>
        <v>595.5792</v>
      </c>
      <c r="C85" t="s">
        <v>315</v>
      </c>
      <c r="D85" s="47" t="s">
        <v>286</v>
      </c>
      <c r="E85" s="39">
        <v>0.6145833333333334</v>
      </c>
    </row>
    <row r="86" spans="1:5" ht="12.75">
      <c r="A86" s="17">
        <f>A58-A38</f>
        <v>292</v>
      </c>
      <c r="B86" s="17">
        <f>B38</f>
        <v>443.78880000000004</v>
      </c>
      <c r="C86" t="s">
        <v>314</v>
      </c>
      <c r="D86">
        <v>37</v>
      </c>
      <c r="E86" s="39">
        <v>0.6243055555555556</v>
      </c>
    </row>
    <row r="87" spans="1:5" ht="12.75">
      <c r="A87" s="17">
        <f>A58-A37</f>
        <v>304</v>
      </c>
      <c r="B87" s="17">
        <f>B37</f>
        <v>514.5024000000001</v>
      </c>
      <c r="C87" s="19" t="s">
        <v>252</v>
      </c>
      <c r="D87">
        <v>37</v>
      </c>
      <c r="E87" s="39">
        <v>0.6375</v>
      </c>
    </row>
    <row r="88" spans="1:5" ht="12.75">
      <c r="A88" s="18">
        <f>$A$58-A36</f>
        <v>314</v>
      </c>
      <c r="C88" s="17" t="str">
        <f>C36</f>
        <v>Milepost 275.4</v>
      </c>
      <c r="D88">
        <v>37</v>
      </c>
      <c r="E88" s="36" t="s">
        <v>376</v>
      </c>
    </row>
    <row r="89" spans="1:5" ht="12.75">
      <c r="A89" s="17">
        <f>A58-A35</f>
        <v>316</v>
      </c>
      <c r="B89" s="17">
        <f>B35</f>
        <v>390.144</v>
      </c>
      <c r="C89" s="19" t="s">
        <v>313</v>
      </c>
      <c r="D89" s="47" t="s">
        <v>286</v>
      </c>
      <c r="E89" s="39">
        <v>0.6479166666666667</v>
      </c>
    </row>
    <row r="90" spans="1:5" ht="12.75">
      <c r="A90" s="18">
        <f>$A$58-A34</f>
        <v>322</v>
      </c>
      <c r="C90" s="17" t="str">
        <f>C34</f>
        <v>Milepost 270</v>
      </c>
      <c r="D90">
        <v>37</v>
      </c>
      <c r="E90" s="36" t="s">
        <v>376</v>
      </c>
    </row>
    <row r="91" spans="1:5" ht="12.75">
      <c r="A91" s="18">
        <f>$A$58-A33</f>
        <v>324</v>
      </c>
      <c r="C91" s="17" t="str">
        <f>C33</f>
        <v>Milepost 269</v>
      </c>
      <c r="D91">
        <v>37</v>
      </c>
      <c r="E91" s="36" t="s">
        <v>376</v>
      </c>
    </row>
    <row r="92" spans="1:5" ht="12.75">
      <c r="A92" s="18">
        <f>$A$58-A31</f>
        <v>329</v>
      </c>
      <c r="C92" s="17" t="str">
        <f>C31</f>
        <v>Milepost 266</v>
      </c>
      <c r="D92">
        <v>37</v>
      </c>
      <c r="E92" s="36" t="s">
        <v>376</v>
      </c>
    </row>
    <row r="93" spans="1:5" ht="12.75">
      <c r="A93" s="17">
        <f>A58-A32</f>
        <v>325</v>
      </c>
      <c r="B93" s="17">
        <f>B32</f>
        <v>267.9192</v>
      </c>
      <c r="C93" s="19" t="s">
        <v>312</v>
      </c>
      <c r="D93" s="47" t="s">
        <v>286</v>
      </c>
      <c r="E93" s="39">
        <v>0.65625</v>
      </c>
    </row>
    <row r="94" spans="1:5" ht="12.75">
      <c r="A94" s="17">
        <f>A58-A30</f>
        <v>333</v>
      </c>
      <c r="B94" s="17">
        <f>B30</f>
        <v>222.80880000000002</v>
      </c>
      <c r="C94" s="19" t="s">
        <v>311</v>
      </c>
      <c r="D94" s="47" t="s">
        <v>286</v>
      </c>
      <c r="E94" s="39">
        <v>0.6625</v>
      </c>
    </row>
    <row r="95" spans="1:5" ht="12.75">
      <c r="A95" s="17">
        <f>A58-A29</f>
        <v>342</v>
      </c>
      <c r="B95" s="17">
        <f>B29</f>
        <v>189.2808</v>
      </c>
      <c r="C95" s="19" t="s">
        <v>310</v>
      </c>
      <c r="D95" s="47" t="s">
        <v>286</v>
      </c>
      <c r="E95" s="39">
        <v>0.6694444444444444</v>
      </c>
    </row>
    <row r="96" spans="1:5" ht="12.75">
      <c r="A96" s="17">
        <f>A58-A28</f>
        <v>357</v>
      </c>
      <c r="B96" s="17">
        <f>B28</f>
        <v>166.4208</v>
      </c>
      <c r="C96" s="19" t="s">
        <v>250</v>
      </c>
      <c r="D96" s="47" t="s">
        <v>286</v>
      </c>
      <c r="E96" s="39">
        <v>0.6805555555555556</v>
      </c>
    </row>
    <row r="97" spans="1:5" ht="12.75">
      <c r="A97" s="18">
        <f>$A$58-A27</f>
        <v>363</v>
      </c>
      <c r="C97" s="17" t="str">
        <f>C27</f>
        <v>Milepost 244.6</v>
      </c>
      <c r="D97">
        <v>37</v>
      </c>
      <c r="E97" s="36" t="str">
        <f>E27</f>
        <v>X</v>
      </c>
    </row>
    <row r="98" spans="1:5" ht="12.75">
      <c r="A98" s="18">
        <f>$A$58-A26</f>
        <v>368</v>
      </c>
      <c r="C98" s="17" t="str">
        <f>C26</f>
        <v>Milepost 241.7</v>
      </c>
      <c r="D98" s="17" t="str">
        <f>D26</f>
        <v>X</v>
      </c>
      <c r="E98" s="36" t="str">
        <f>E26</f>
        <v>X</v>
      </c>
    </row>
    <row r="99" spans="1:5" ht="12.75">
      <c r="A99" s="18">
        <f>$A$58-A25</f>
        <v>372</v>
      </c>
      <c r="C99" s="17" t="str">
        <f>C25</f>
        <v>Milepost 239.5</v>
      </c>
      <c r="D99">
        <v>37</v>
      </c>
      <c r="E99" s="36" t="s">
        <v>376</v>
      </c>
    </row>
    <row r="100" spans="1:5" ht="12.75">
      <c r="A100" s="18">
        <f>$A$58-A24</f>
        <v>373</v>
      </c>
      <c r="C100" s="17" t="str">
        <f>C24</f>
        <v>Milepost 238.4</v>
      </c>
      <c r="D100">
        <v>37</v>
      </c>
      <c r="E100" s="36" t="s">
        <v>376</v>
      </c>
    </row>
    <row r="101" spans="1:5" ht="12.75">
      <c r="A101" s="17">
        <f>A58-A23</f>
        <v>377</v>
      </c>
      <c r="B101" s="17">
        <f>B23</f>
        <v>140.5128</v>
      </c>
      <c r="C101" s="19" t="s">
        <v>309</v>
      </c>
      <c r="D101" s="47" t="s">
        <v>286</v>
      </c>
      <c r="E101" s="39">
        <v>0.6930555555555555</v>
      </c>
    </row>
    <row r="102" spans="1:5" ht="12.75">
      <c r="A102" s="18">
        <f>$A$58-A22</f>
        <v>381</v>
      </c>
      <c r="C102" s="17" t="str">
        <f>C22</f>
        <v>Milepost 233.5</v>
      </c>
      <c r="D102">
        <v>37</v>
      </c>
      <c r="E102" s="36" t="s">
        <v>376</v>
      </c>
    </row>
    <row r="103" spans="1:5" ht="12.75">
      <c r="A103" s="18">
        <f>$A$58-A21</f>
        <v>384</v>
      </c>
      <c r="C103" s="17" t="str">
        <f>C21</f>
        <v>Milepost 232</v>
      </c>
      <c r="D103" s="17" t="str">
        <f>D21</f>
        <v>X</v>
      </c>
      <c r="E103" s="36" t="str">
        <f>E21</f>
        <v>X</v>
      </c>
    </row>
    <row r="104" spans="1:5" ht="12.75">
      <c r="A104" s="17">
        <f>A58-A20</f>
        <v>392</v>
      </c>
      <c r="B104" s="17">
        <f>B20</f>
        <v>107.89920000000001</v>
      </c>
      <c r="C104" s="19" t="s">
        <v>249</v>
      </c>
      <c r="D104" s="19"/>
      <c r="E104" s="39">
        <v>0.7027777777777777</v>
      </c>
    </row>
    <row r="105" spans="1:5" ht="12.75">
      <c r="A105" s="51">
        <f>A58-A19</f>
        <v>401</v>
      </c>
      <c r="B105" s="17">
        <f>B19</f>
        <v>94.488</v>
      </c>
      <c r="C105" s="19" t="s">
        <v>308</v>
      </c>
      <c r="D105" s="47" t="s">
        <v>286</v>
      </c>
      <c r="E105" s="36" t="s">
        <v>286</v>
      </c>
    </row>
    <row r="106" spans="1:5" ht="12.75">
      <c r="A106" s="17">
        <f>A58-A18</f>
        <v>410</v>
      </c>
      <c r="B106" s="17">
        <f>B18</f>
        <v>99.9744</v>
      </c>
      <c r="C106" t="s">
        <v>307</v>
      </c>
      <c r="D106">
        <v>37</v>
      </c>
      <c r="E106" s="39">
        <v>0.7131944444444445</v>
      </c>
    </row>
    <row r="107" spans="1:5" ht="12.75">
      <c r="A107" s="17">
        <f>A58-A17</f>
        <v>420</v>
      </c>
      <c r="B107" s="17">
        <f>B17</f>
        <v>85.95360000000001</v>
      </c>
      <c r="C107" t="s">
        <v>305</v>
      </c>
      <c r="D107" s="47" t="s">
        <v>286</v>
      </c>
      <c r="E107" s="39">
        <v>0.7194444444444444</v>
      </c>
    </row>
    <row r="108" spans="1:5" ht="12.75">
      <c r="A108" s="17">
        <f>A58-A16</f>
        <v>431</v>
      </c>
      <c r="B108" s="17">
        <f>B16</f>
        <v>74.9808</v>
      </c>
      <c r="C108" t="s">
        <v>303</v>
      </c>
      <c r="D108">
        <v>37</v>
      </c>
      <c r="E108" s="39">
        <v>0.7263888888888889</v>
      </c>
    </row>
    <row r="109" spans="1:5" ht="12.75">
      <c r="A109" s="17">
        <f>A58-A15</f>
        <v>445</v>
      </c>
      <c r="B109" s="17">
        <f>B15</f>
        <v>71.9328</v>
      </c>
      <c r="C109" t="s">
        <v>302</v>
      </c>
      <c r="D109">
        <v>37</v>
      </c>
      <c r="E109" s="39">
        <v>0.7347222222222223</v>
      </c>
    </row>
    <row r="110" spans="1:5" ht="12.75">
      <c r="A110" s="17">
        <f>A58-A14</f>
        <v>450</v>
      </c>
      <c r="B110" s="17">
        <f>B14</f>
        <v>53.34</v>
      </c>
      <c r="C110" t="s">
        <v>301</v>
      </c>
      <c r="D110" s="47" t="s">
        <v>286</v>
      </c>
      <c r="E110" s="36" t="s">
        <v>286</v>
      </c>
    </row>
    <row r="111" spans="1:5" ht="12.75">
      <c r="A111" s="17">
        <f>A58-A13</f>
        <v>458</v>
      </c>
      <c r="B111" s="17">
        <f>B13</f>
        <v>70.7136</v>
      </c>
      <c r="C111" t="s">
        <v>300</v>
      </c>
      <c r="D111" s="47" t="s">
        <v>286</v>
      </c>
      <c r="E111" s="39">
        <v>0.7423611111111111</v>
      </c>
    </row>
    <row r="112" spans="1:5" ht="12.75">
      <c r="A112" s="17">
        <f>A58-A12</f>
        <v>475</v>
      </c>
      <c r="B112" s="17">
        <f>B12</f>
        <v>74.9808</v>
      </c>
      <c r="C112" t="s">
        <v>298</v>
      </c>
      <c r="D112">
        <v>37</v>
      </c>
      <c r="E112" s="39">
        <v>0.7527777777777778</v>
      </c>
    </row>
    <row r="113" spans="1:5" ht="12.75">
      <c r="A113" s="17">
        <f>$A$58-A11</f>
        <v>490</v>
      </c>
      <c r="C113" s="17" t="str">
        <f>C11</f>
        <v>Milepost 166.2</v>
      </c>
      <c r="D113">
        <v>37</v>
      </c>
      <c r="E113" s="36" t="s">
        <v>376</v>
      </c>
    </row>
    <row r="114" spans="1:5" ht="12.75">
      <c r="A114" s="17">
        <f>A58-A10</f>
        <v>500</v>
      </c>
      <c r="B114" s="17">
        <f>B10</f>
        <v>103.3272</v>
      </c>
      <c r="C114" s="19" t="s">
        <v>248</v>
      </c>
      <c r="D114" s="47"/>
      <c r="E114" s="39">
        <v>0.7680555555555556</v>
      </c>
    </row>
    <row r="115" spans="1:5" ht="12.75">
      <c r="A115" s="17">
        <f>A58-A9</f>
        <v>514</v>
      </c>
      <c r="B115" s="17">
        <f>B9</f>
        <v>10.972800000000001</v>
      </c>
      <c r="C115" s="19" t="s">
        <v>247</v>
      </c>
      <c r="D115">
        <v>37</v>
      </c>
      <c r="E115" s="39">
        <v>0.7819444444444444</v>
      </c>
    </row>
    <row r="116" spans="1:5" ht="12.75">
      <c r="A116" s="17">
        <f>A58-A8</f>
        <v>530</v>
      </c>
      <c r="B116" s="17">
        <f>B8</f>
        <v>15.24</v>
      </c>
      <c r="C116" s="19" t="s">
        <v>296</v>
      </c>
      <c r="D116" s="47" t="s">
        <v>286</v>
      </c>
      <c r="E116" s="39">
        <v>0.7923611111111111</v>
      </c>
    </row>
    <row r="117" spans="1:5" ht="12.75">
      <c r="A117" s="17">
        <f>A58-A7</f>
        <v>538</v>
      </c>
      <c r="B117" s="17">
        <f>B7</f>
        <v>28.041600000000003</v>
      </c>
      <c r="C117" s="19" t="s">
        <v>295</v>
      </c>
      <c r="D117" s="47" t="s">
        <v>286</v>
      </c>
      <c r="E117" s="39">
        <v>0.7979166666666667</v>
      </c>
    </row>
    <row r="118" spans="1:5" ht="12.75">
      <c r="A118" s="12">
        <f>A58-A6</f>
        <v>569</v>
      </c>
      <c r="B118" s="12">
        <f>B6</f>
        <v>12.192</v>
      </c>
      <c r="C118" t="s">
        <v>292</v>
      </c>
      <c r="D118" s="47" t="s">
        <v>286</v>
      </c>
      <c r="E118" s="36" t="s">
        <v>286</v>
      </c>
    </row>
    <row r="119" spans="1:5" ht="12.75">
      <c r="A119" s="17">
        <f>A58-A5</f>
        <v>573</v>
      </c>
      <c r="B119" s="17">
        <f>B5</f>
        <v>11.5824</v>
      </c>
      <c r="C119" s="19" t="s">
        <v>245</v>
      </c>
      <c r="D119" s="19" t="s">
        <v>246</v>
      </c>
      <c r="E119" s="39">
        <v>0.8333333333333334</v>
      </c>
    </row>
    <row r="120" spans="3:4" ht="12.75">
      <c r="C120" s="19" t="s">
        <v>290</v>
      </c>
      <c r="D120" s="19"/>
    </row>
    <row r="121" ht="12.75">
      <c r="C121" t="s">
        <v>377</v>
      </c>
    </row>
    <row r="122" ht="12.75">
      <c r="C122" s="19" t="s">
        <v>375</v>
      </c>
    </row>
    <row r="124" spans="1:10" ht="12.75">
      <c r="A124" s="50" t="s">
        <v>2</v>
      </c>
      <c r="B124" s="36" t="s">
        <v>222</v>
      </c>
      <c r="C124" s="42" t="s">
        <v>237</v>
      </c>
      <c r="D124" s="19"/>
      <c r="E124" s="57">
        <v>1</v>
      </c>
      <c r="F124" s="57">
        <v>2</v>
      </c>
      <c r="G124" s="57">
        <v>3</v>
      </c>
      <c r="I124" s="57">
        <v>1</v>
      </c>
      <c r="J124" s="57">
        <v>2</v>
      </c>
    </row>
    <row r="125" spans="1:10" ht="12.75">
      <c r="A125" s="16"/>
      <c r="C125" s="42" t="s">
        <v>382</v>
      </c>
      <c r="D125" s="19"/>
      <c r="E125" s="23" t="s">
        <v>379</v>
      </c>
      <c r="F125" s="23" t="s">
        <v>379</v>
      </c>
      <c r="G125" s="23" t="s">
        <v>379</v>
      </c>
      <c r="I125" s="23" t="s">
        <v>335</v>
      </c>
      <c r="J125" s="23" t="s">
        <v>335</v>
      </c>
    </row>
    <row r="126" spans="1:11" ht="12.75">
      <c r="A126" s="32">
        <v>0</v>
      </c>
      <c r="B126" s="17">
        <f>0.3048*38</f>
        <v>11.5824</v>
      </c>
      <c r="C126" s="19" t="s">
        <v>245</v>
      </c>
      <c r="D126" s="19" t="s">
        <v>241</v>
      </c>
      <c r="E126" s="39">
        <v>0.4583333333333333</v>
      </c>
      <c r="F126" s="39"/>
      <c r="I126" s="39">
        <f>E126</f>
        <v>0.4583333333333333</v>
      </c>
      <c r="J126" s="39"/>
      <c r="K126" s="39"/>
    </row>
    <row r="127" spans="1:11" ht="12.75">
      <c r="A127" s="46">
        <v>80.61</v>
      </c>
      <c r="B127" s="17">
        <f>0.3048*33</f>
        <v>10.0584</v>
      </c>
      <c r="C127" s="19" t="s">
        <v>270</v>
      </c>
      <c r="D127" s="19" t="s">
        <v>246</v>
      </c>
      <c r="E127" s="39">
        <v>0.5208333333333334</v>
      </c>
      <c r="F127" s="39"/>
      <c r="I127" s="39">
        <f>E127</f>
        <v>0.5208333333333334</v>
      </c>
      <c r="J127" s="39"/>
      <c r="K127" s="39"/>
    </row>
    <row r="128" spans="1:10" ht="12.75">
      <c r="A128" s="46">
        <v>80.61</v>
      </c>
      <c r="B128" s="17">
        <f>0.3048*33</f>
        <v>10.0584</v>
      </c>
      <c r="C128" s="19" t="s">
        <v>270</v>
      </c>
      <c r="D128" s="19" t="s">
        <v>241</v>
      </c>
      <c r="E128" s="39">
        <v>0.5555555555555556</v>
      </c>
      <c r="F128" s="39">
        <v>0.6805555555555556</v>
      </c>
      <c r="G128" s="39">
        <v>0.7777777777777778</v>
      </c>
      <c r="I128" s="39">
        <f>E128</f>
        <v>0.5555555555555556</v>
      </c>
      <c r="J128" s="39">
        <f>F128</f>
        <v>0.6805555555555556</v>
      </c>
    </row>
    <row r="129" spans="1:10" ht="12.75">
      <c r="A129" s="46">
        <v>100.56</v>
      </c>
      <c r="B129" s="17">
        <f>0.3048*21</f>
        <v>6.4008</v>
      </c>
      <c r="C129" s="19" t="s">
        <v>281</v>
      </c>
      <c r="D129" s="19" t="s">
        <v>246</v>
      </c>
      <c r="E129" s="39">
        <v>0.5798611111111112</v>
      </c>
      <c r="F129" s="39">
        <v>0.7048611111111112</v>
      </c>
      <c r="G129" s="39">
        <v>0.8020833333333334</v>
      </c>
      <c r="I129" s="39">
        <f>E129</f>
        <v>0.5798611111111112</v>
      </c>
      <c r="J129" s="39">
        <f>F129</f>
        <v>0.7048611111111112</v>
      </c>
    </row>
    <row r="130" spans="1:11" ht="12.75">
      <c r="A130" s="46"/>
      <c r="B130" s="17"/>
      <c r="C130" s="19"/>
      <c r="D130" s="19"/>
      <c r="E130" s="39"/>
      <c r="F130" s="39"/>
      <c r="I130" s="39"/>
      <c r="J130" s="39"/>
      <c r="K130" s="39"/>
    </row>
    <row r="131" ht="12.75">
      <c r="D131" s="19"/>
    </row>
    <row r="132" spans="1:10" ht="12.75">
      <c r="A132" s="50" t="s">
        <v>2</v>
      </c>
      <c r="B132" s="36" t="s">
        <v>222</v>
      </c>
      <c r="C132" s="42" t="s">
        <v>223</v>
      </c>
      <c r="D132" s="19"/>
      <c r="E132" s="57">
        <v>1</v>
      </c>
      <c r="F132" s="57">
        <v>2</v>
      </c>
      <c r="G132" s="57">
        <v>3</v>
      </c>
      <c r="I132" s="57">
        <v>1</v>
      </c>
      <c r="J132" s="57">
        <v>2</v>
      </c>
    </row>
    <row r="133" spans="1:10" ht="12.75">
      <c r="A133" s="16"/>
      <c r="C133" s="42" t="s">
        <v>382</v>
      </c>
      <c r="D133" s="19"/>
      <c r="E133" s="23" t="s">
        <v>379</v>
      </c>
      <c r="F133" s="23" t="s">
        <v>379</v>
      </c>
      <c r="G133" s="23" t="s">
        <v>379</v>
      </c>
      <c r="I133" s="23" t="s">
        <v>335</v>
      </c>
      <c r="J133" s="23" t="s">
        <v>335</v>
      </c>
    </row>
    <row r="134" spans="1:10" ht="12.75">
      <c r="A134" s="32">
        <f>A129-A129</f>
        <v>0</v>
      </c>
      <c r="B134" s="17">
        <f>B129</f>
        <v>6.4008</v>
      </c>
      <c r="C134" s="19" t="s">
        <v>281</v>
      </c>
      <c r="D134" s="19" t="s">
        <v>241</v>
      </c>
      <c r="E134" s="39">
        <v>0.6319444444444444</v>
      </c>
      <c r="F134" s="39">
        <v>0.7291666666666666</v>
      </c>
      <c r="G134" s="39">
        <v>0.8263888888888888</v>
      </c>
      <c r="I134" s="39">
        <f>E134</f>
        <v>0.6319444444444444</v>
      </c>
      <c r="J134" s="39">
        <v>0.7291666666666666</v>
      </c>
    </row>
    <row r="135" spans="1:10" ht="12.75">
      <c r="A135" s="32">
        <f>A129-A128</f>
        <v>19.950000000000003</v>
      </c>
      <c r="B135" s="17">
        <f>B128</f>
        <v>10.0584</v>
      </c>
      <c r="C135" s="19" t="s">
        <v>270</v>
      </c>
      <c r="D135" s="19" t="s">
        <v>246</v>
      </c>
      <c r="E135" s="39">
        <v>0.65625</v>
      </c>
      <c r="F135" s="39">
        <v>0.7534722222222222</v>
      </c>
      <c r="G135" s="39">
        <v>0.8506944444444444</v>
      </c>
      <c r="I135" s="39">
        <f>E135</f>
        <v>0.65625</v>
      </c>
      <c r="J135" s="39">
        <v>0.7534722222222222</v>
      </c>
    </row>
    <row r="136" spans="1:10" ht="12.75">
      <c r="A136" s="32">
        <f>A135</f>
        <v>19.950000000000003</v>
      </c>
      <c r="B136" s="48">
        <f>B135</f>
        <v>10.0584</v>
      </c>
      <c r="C136" s="19" t="s">
        <v>270</v>
      </c>
      <c r="D136" s="19" t="s">
        <v>241</v>
      </c>
      <c r="E136" s="39"/>
      <c r="F136" s="39"/>
      <c r="G136" s="39">
        <v>0.8576388888888888</v>
      </c>
      <c r="I136" s="39"/>
      <c r="J136" s="39">
        <v>0.7604166666666666</v>
      </c>
    </row>
    <row r="137" spans="1:10" ht="12.75">
      <c r="A137" s="32">
        <f>A129-A126</f>
        <v>100.56</v>
      </c>
      <c r="B137" s="17">
        <f>B126</f>
        <v>11.5824</v>
      </c>
      <c r="C137" s="19" t="s">
        <v>245</v>
      </c>
      <c r="D137" s="19" t="s">
        <v>246</v>
      </c>
      <c r="E137" s="39"/>
      <c r="F137" s="39"/>
      <c r="G137" s="39">
        <v>0.9201388888888888</v>
      </c>
      <c r="I137" s="39"/>
      <c r="J137" s="39">
        <v>0.8229166666666666</v>
      </c>
    </row>
    <row r="138" ht="12.75">
      <c r="C138" s="19"/>
    </row>
    <row r="140" spans="1:5" ht="12.75">
      <c r="A140" s="3">
        <v>1979</v>
      </c>
      <c r="C140" s="35" t="s">
        <v>221</v>
      </c>
      <c r="E140" s="36"/>
    </row>
    <row r="141" spans="1:3" ht="12.75">
      <c r="A141" s="36" t="s">
        <v>2</v>
      </c>
      <c r="B141" s="36" t="s">
        <v>222</v>
      </c>
      <c r="C141" s="35" t="s">
        <v>223</v>
      </c>
    </row>
    <row r="142" spans="3:5" ht="12.75">
      <c r="C142" s="35" t="s">
        <v>224</v>
      </c>
      <c r="E142" s="38"/>
    </row>
    <row r="143" spans="1:5" ht="12.75">
      <c r="A143" s="18">
        <v>0</v>
      </c>
      <c r="B143" s="18">
        <v>0</v>
      </c>
      <c r="C143" t="s">
        <v>225</v>
      </c>
      <c r="D143" t="s">
        <v>241</v>
      </c>
      <c r="E143" t="s">
        <v>226</v>
      </c>
    </row>
    <row r="144" spans="1:5" ht="12.75">
      <c r="A144" s="18">
        <v>2.73</v>
      </c>
      <c r="B144" s="18">
        <v>0</v>
      </c>
      <c r="C144" t="s">
        <v>227</v>
      </c>
      <c r="E144" s="39"/>
    </row>
    <row r="145" spans="1:5" ht="12.75">
      <c r="A145" s="18">
        <v>31.83</v>
      </c>
      <c r="B145" s="18">
        <f>0.3048*2885</f>
        <v>879.3480000000001</v>
      </c>
      <c r="C145" t="s">
        <v>228</v>
      </c>
      <c r="E145" s="40"/>
    </row>
    <row r="146" spans="1:5" ht="12.75">
      <c r="A146" s="18">
        <v>52.13</v>
      </c>
      <c r="B146" s="18">
        <f>0.3048*2916</f>
        <v>888.7968000000001</v>
      </c>
      <c r="C146" t="s">
        <v>229</v>
      </c>
      <c r="E146" s="40"/>
    </row>
    <row r="147" spans="1:5" ht="12.75">
      <c r="A147" s="18">
        <v>64.33</v>
      </c>
      <c r="B147" s="18">
        <f>0.3048*2158</f>
        <v>657.7584</v>
      </c>
      <c r="C147" t="s">
        <v>230</v>
      </c>
      <c r="E147" s="37"/>
    </row>
    <row r="148" spans="1:5" ht="12.75">
      <c r="A148" s="18">
        <v>107.63</v>
      </c>
      <c r="B148" s="18">
        <f>0.3048*2164</f>
        <v>659.5872</v>
      </c>
      <c r="C148" t="s">
        <v>116</v>
      </c>
      <c r="E148" s="40"/>
    </row>
    <row r="149" spans="1:5" ht="12.75">
      <c r="A149" s="18">
        <v>176.83</v>
      </c>
      <c r="B149" s="18">
        <f>0.3048*2079</f>
        <v>633.6792</v>
      </c>
      <c r="C149" t="s">
        <v>231</v>
      </c>
      <c r="D149" t="s">
        <v>246</v>
      </c>
      <c r="E149" s="40"/>
    </row>
    <row r="150" ht="12.75">
      <c r="C150" t="s">
        <v>232</v>
      </c>
    </row>
    <row r="151" ht="12.75">
      <c r="C151" t="s">
        <v>233</v>
      </c>
    </row>
    <row r="152" ht="12.75">
      <c r="C152" t="s">
        <v>234</v>
      </c>
    </row>
    <row r="153" ht="12.75">
      <c r="C153" t="s">
        <v>235</v>
      </c>
    </row>
    <row r="156" spans="3:5" ht="12.75">
      <c r="C156" s="35" t="s">
        <v>221</v>
      </c>
      <c r="E156" s="36"/>
    </row>
    <row r="157" spans="3:5" ht="12.75">
      <c r="C157" s="35"/>
      <c r="E157" s="36"/>
    </row>
    <row r="158" spans="1:3" ht="12.75">
      <c r="A158" s="36" t="s">
        <v>2</v>
      </c>
      <c r="B158" s="36" t="s">
        <v>222</v>
      </c>
      <c r="C158" s="35" t="s">
        <v>237</v>
      </c>
    </row>
    <row r="159" spans="3:5" ht="12.75">
      <c r="C159" s="35" t="s">
        <v>224</v>
      </c>
      <c r="E159" s="38"/>
    </row>
    <row r="160" spans="1:5" ht="12.75">
      <c r="A160" s="18">
        <f>A149-A149</f>
        <v>0</v>
      </c>
      <c r="B160" s="18">
        <f>0.3048*2079</f>
        <v>633.6792</v>
      </c>
      <c r="C160" t="s">
        <v>231</v>
      </c>
      <c r="D160" t="s">
        <v>241</v>
      </c>
      <c r="E160" t="s">
        <v>238</v>
      </c>
    </row>
    <row r="161" spans="1:5" ht="12.75">
      <c r="A161" s="34">
        <f>A149-A148</f>
        <v>69.20000000000002</v>
      </c>
      <c r="B161" s="18">
        <f>0.3048*2164</f>
        <v>659.5872</v>
      </c>
      <c r="C161" t="s">
        <v>116</v>
      </c>
      <c r="E161" s="40"/>
    </row>
    <row r="162" spans="1:5" ht="12.75">
      <c r="A162" s="34">
        <f>A149-A147</f>
        <v>112.50000000000001</v>
      </c>
      <c r="B162" s="18">
        <f>0.3048*2158</f>
        <v>657.7584</v>
      </c>
      <c r="C162" t="s">
        <v>230</v>
      </c>
      <c r="E162" s="40"/>
    </row>
    <row r="163" spans="1:5" ht="12.75">
      <c r="A163" s="34">
        <f>A149-A146</f>
        <v>124.70000000000002</v>
      </c>
      <c r="B163" s="18">
        <f>0.3048*2916</f>
        <v>888.7968000000001</v>
      </c>
      <c r="C163" t="s">
        <v>229</v>
      </c>
      <c r="E163" s="40"/>
    </row>
    <row r="164" spans="1:5" ht="12.75">
      <c r="A164" s="34">
        <f>A149-A145</f>
        <v>145</v>
      </c>
      <c r="B164" s="18">
        <f>0.3048*2885</f>
        <v>879.3480000000001</v>
      </c>
      <c r="C164" t="s">
        <v>228</v>
      </c>
      <c r="E164" s="40"/>
    </row>
    <row r="165" spans="1:5" ht="12.75">
      <c r="A165" s="34">
        <f>A149-A144</f>
        <v>174.10000000000002</v>
      </c>
      <c r="B165" s="18">
        <v>0</v>
      </c>
      <c r="C165" t="s">
        <v>227</v>
      </c>
      <c r="D165" t="s">
        <v>246</v>
      </c>
      <c r="E165" s="39"/>
    </row>
    <row r="166" spans="1:5" ht="12.75">
      <c r="A166" s="34">
        <f>A149-A143</f>
        <v>176.83</v>
      </c>
      <c r="B166" s="18">
        <v>0</v>
      </c>
      <c r="C166" t="s">
        <v>225</v>
      </c>
      <c r="D166" t="s">
        <v>246</v>
      </c>
      <c r="E166" s="40"/>
    </row>
    <row r="167" spans="3:5" ht="12.75">
      <c r="C167" t="s">
        <v>239</v>
      </c>
      <c r="E167" s="12"/>
    </row>
    <row r="168" ht="12.75">
      <c r="C168" t="s">
        <v>233</v>
      </c>
    </row>
    <row r="169" ht="12.75">
      <c r="C169" t="s">
        <v>234</v>
      </c>
    </row>
    <row r="170" ht="12.75">
      <c r="C170"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8.xml><?xml version="1.0" encoding="utf-8"?>
<worksheet xmlns="http://schemas.openxmlformats.org/spreadsheetml/2006/main" xmlns:r="http://schemas.openxmlformats.org/officeDocument/2006/relationships">
  <dimension ref="A1:G161"/>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6" ht="12.75">
      <c r="A1" s="3" t="s">
        <v>76</v>
      </c>
      <c r="C1" s="3" t="s">
        <v>34</v>
      </c>
      <c r="E1" s="41" t="s">
        <v>345</v>
      </c>
      <c r="F1" s="41" t="s">
        <v>345</v>
      </c>
    </row>
    <row r="2" spans="1:6" ht="12.75">
      <c r="A2" s="50" t="s">
        <v>2</v>
      </c>
      <c r="B2" s="36" t="s">
        <v>222</v>
      </c>
      <c r="C2" s="42" t="s">
        <v>223</v>
      </c>
      <c r="D2" s="19"/>
      <c r="E2" s="41" t="s">
        <v>57</v>
      </c>
      <c r="F2" s="41" t="s">
        <v>57</v>
      </c>
    </row>
    <row r="3" spans="1:6" ht="12.75">
      <c r="A3" s="16"/>
      <c r="C3" s="42" t="s">
        <v>383</v>
      </c>
      <c r="D3" s="19"/>
      <c r="E3">
        <v>6</v>
      </c>
      <c r="F3">
        <v>8</v>
      </c>
    </row>
    <row r="4" spans="1:6" ht="12.75">
      <c r="A4" s="16"/>
      <c r="C4" s="19"/>
      <c r="D4" s="19"/>
      <c r="E4" s="43" t="s">
        <v>36</v>
      </c>
      <c r="F4" s="43" t="s">
        <v>47</v>
      </c>
    </row>
    <row r="5" spans="1:6" ht="12.75">
      <c r="A5">
        <v>0</v>
      </c>
      <c r="B5" s="17">
        <f>0.3048*38</f>
        <v>11.5824</v>
      </c>
      <c r="C5" s="19" t="s">
        <v>245</v>
      </c>
      <c r="D5" s="19" t="s">
        <v>241</v>
      </c>
      <c r="E5" s="39">
        <v>0.375</v>
      </c>
      <c r="F5" s="39">
        <f>E5+10/24</f>
        <v>0.7916666666666667</v>
      </c>
    </row>
    <row r="6" spans="1:6" ht="12.75">
      <c r="A6">
        <v>4</v>
      </c>
      <c r="B6" s="17">
        <f>0.3048*40</f>
        <v>12.192</v>
      </c>
      <c r="C6" s="19" t="s">
        <v>292</v>
      </c>
      <c r="D6" s="47" t="s">
        <v>286</v>
      </c>
      <c r="E6" s="39">
        <v>0.38055555555555554</v>
      </c>
      <c r="F6" s="39">
        <f>E6+10/24</f>
        <v>0.7972222222222223</v>
      </c>
    </row>
    <row r="7" spans="1:6" ht="12.75">
      <c r="A7">
        <v>8</v>
      </c>
      <c r="B7" s="17">
        <f>0.3048*222</f>
        <v>67.6656</v>
      </c>
      <c r="C7" s="19" t="s">
        <v>293</v>
      </c>
      <c r="D7" s="47" t="s">
        <v>286</v>
      </c>
      <c r="E7" s="39">
        <v>0.3854166666666667</v>
      </c>
      <c r="F7" s="39">
        <f>E7+10/24</f>
        <v>0.8020833333333334</v>
      </c>
    </row>
    <row r="8" spans="1:6" ht="12.75">
      <c r="A8">
        <v>20</v>
      </c>
      <c r="B8" s="17">
        <f>0.3048*197</f>
        <v>60.0456</v>
      </c>
      <c r="C8" s="19" t="s">
        <v>294</v>
      </c>
      <c r="D8" s="47" t="s">
        <v>286</v>
      </c>
      <c r="E8" s="39">
        <v>0.3958333333333333</v>
      </c>
      <c r="F8" s="39">
        <f>E8+10/24</f>
        <v>0.8125</v>
      </c>
    </row>
    <row r="9" spans="1:6" ht="12.75">
      <c r="A9">
        <v>35</v>
      </c>
      <c r="B9" s="17">
        <f>0.3048*92</f>
        <v>28.041600000000003</v>
      </c>
      <c r="C9" s="19" t="s">
        <v>295</v>
      </c>
      <c r="D9" s="47" t="s">
        <v>286</v>
      </c>
      <c r="E9" s="39">
        <v>0.4097222222222222</v>
      </c>
      <c r="F9" s="39">
        <f>E9+10/24</f>
        <v>0.8263888888888888</v>
      </c>
    </row>
    <row r="10" spans="1:6" ht="12.75">
      <c r="A10">
        <v>43</v>
      </c>
      <c r="B10" s="17">
        <f>0.3048*50</f>
        <v>15.24</v>
      </c>
      <c r="C10" s="19" t="s">
        <v>296</v>
      </c>
      <c r="D10" s="47" t="s">
        <v>286</v>
      </c>
      <c r="E10" s="39">
        <v>0.4166666666666667</v>
      </c>
      <c r="F10" s="39">
        <f>E10+10/24</f>
        <v>0.8333333333333334</v>
      </c>
    </row>
    <row r="11" spans="1:6" ht="12.75">
      <c r="A11">
        <v>59</v>
      </c>
      <c r="B11" s="17">
        <f>0.3048*36</f>
        <v>10.972800000000001</v>
      </c>
      <c r="C11" s="19" t="s">
        <v>247</v>
      </c>
      <c r="D11" s="47" t="s">
        <v>286</v>
      </c>
      <c r="E11" s="39">
        <v>0.42916666666666664</v>
      </c>
      <c r="F11" s="39">
        <f>E11+10/24</f>
        <v>0.8458333333333333</v>
      </c>
    </row>
    <row r="12" spans="1:6" ht="12.75">
      <c r="A12">
        <v>73</v>
      </c>
      <c r="B12" s="17">
        <f>0.3048*339</f>
        <v>103.3272</v>
      </c>
      <c r="C12" s="19" t="s">
        <v>248</v>
      </c>
      <c r="D12" s="47"/>
      <c r="E12" s="39">
        <v>0.44583333333333336</v>
      </c>
      <c r="F12" s="39">
        <f>E12+10/24</f>
        <v>0.8625</v>
      </c>
    </row>
    <row r="13" spans="1:6" ht="12.75">
      <c r="A13">
        <v>84</v>
      </c>
      <c r="B13" s="17">
        <f>0.3048*300</f>
        <v>91.44</v>
      </c>
      <c r="C13" s="19" t="s">
        <v>297</v>
      </c>
      <c r="D13" s="47" t="s">
        <v>286</v>
      </c>
      <c r="E13" s="39">
        <v>0.4527777777777778</v>
      </c>
      <c r="F13" s="39">
        <f>E13+10/24</f>
        <v>0.8694444444444445</v>
      </c>
    </row>
    <row r="14" spans="1:6" ht="12.75">
      <c r="A14">
        <v>98</v>
      </c>
      <c r="B14" s="17">
        <f>0.3048*246</f>
        <v>74.9808</v>
      </c>
      <c r="C14" t="s">
        <v>298</v>
      </c>
      <c r="D14" s="47" t="s">
        <v>286</v>
      </c>
      <c r="E14" s="39">
        <v>0.4618055555555556</v>
      </c>
      <c r="F14" s="39">
        <f>E14+10/24</f>
        <v>0.8784722222222223</v>
      </c>
    </row>
    <row r="15" spans="1:6" ht="12.75">
      <c r="A15">
        <v>107</v>
      </c>
      <c r="B15" s="17">
        <f>0.3048*236</f>
        <v>71.9328</v>
      </c>
      <c r="C15" t="s">
        <v>299</v>
      </c>
      <c r="D15" s="47" t="s">
        <v>286</v>
      </c>
      <c r="E15" s="39">
        <v>0.4666666666666667</v>
      </c>
      <c r="F15" s="39">
        <f>E15+10/24</f>
        <v>0.8833333333333333</v>
      </c>
    </row>
    <row r="16" spans="1:6" ht="12.75">
      <c r="A16">
        <v>115</v>
      </c>
      <c r="B16" s="17">
        <f>0.3048*232</f>
        <v>70.7136</v>
      </c>
      <c r="C16" t="s">
        <v>300</v>
      </c>
      <c r="D16" s="47" t="s">
        <v>286</v>
      </c>
      <c r="E16" s="39">
        <v>0.47430555555555554</v>
      </c>
      <c r="F16" s="39">
        <f>E16+10/24</f>
        <v>0.8909722222222223</v>
      </c>
    </row>
    <row r="17" spans="1:6" ht="12.75">
      <c r="A17">
        <v>123</v>
      </c>
      <c r="B17" s="17">
        <f>0.3048*175</f>
        <v>53.34</v>
      </c>
      <c r="C17" t="s">
        <v>301</v>
      </c>
      <c r="D17" s="47" t="s">
        <v>286</v>
      </c>
      <c r="E17" s="39">
        <v>0.4777777777777778</v>
      </c>
      <c r="F17" s="39">
        <f>E17+10/24</f>
        <v>0.8944444444444445</v>
      </c>
    </row>
    <row r="18" spans="1:6" ht="12.75">
      <c r="A18">
        <v>128</v>
      </c>
      <c r="B18" s="17">
        <f>0.3048*236</f>
        <v>71.9328</v>
      </c>
      <c r="C18" t="s">
        <v>302</v>
      </c>
      <c r="D18" s="47" t="s">
        <v>286</v>
      </c>
      <c r="E18" s="39">
        <v>0.48333333333333334</v>
      </c>
      <c r="F18" s="39">
        <f>E18+10/24</f>
        <v>0.9</v>
      </c>
    </row>
    <row r="19" spans="1:6" ht="12.75">
      <c r="A19">
        <v>142</v>
      </c>
      <c r="B19" s="17">
        <f>0.3048*246</f>
        <v>74.9808</v>
      </c>
      <c r="C19" t="s">
        <v>303</v>
      </c>
      <c r="D19" s="47" t="s">
        <v>286</v>
      </c>
      <c r="E19" s="39">
        <v>0.49236111111111114</v>
      </c>
      <c r="F19" s="39">
        <f>E19+10/24</f>
        <v>0.9090277777777778</v>
      </c>
    </row>
    <row r="20" spans="1:6" ht="12.75">
      <c r="A20">
        <v>153</v>
      </c>
      <c r="B20" s="17">
        <f>0.3048*282</f>
        <v>85.95360000000001</v>
      </c>
      <c r="C20" t="s">
        <v>305</v>
      </c>
      <c r="D20" s="47" t="s">
        <v>286</v>
      </c>
      <c r="E20" s="39">
        <v>0.5013888888888889</v>
      </c>
      <c r="F20" s="39">
        <f>E20+10/24</f>
        <v>0.9180555555555556</v>
      </c>
    </row>
    <row r="21" spans="1:6" ht="12.75">
      <c r="A21">
        <v>163</v>
      </c>
      <c r="B21" s="17">
        <f>0.3048*328</f>
        <v>99.9744</v>
      </c>
      <c r="C21" t="s">
        <v>307</v>
      </c>
      <c r="D21" s="47" t="s">
        <v>286</v>
      </c>
      <c r="E21" s="39">
        <v>0.5076388888888889</v>
      </c>
      <c r="F21" s="39">
        <f>E21+10/24</f>
        <v>0.9243055555555555</v>
      </c>
    </row>
    <row r="22" spans="1:6" ht="12.75">
      <c r="A22">
        <v>181</v>
      </c>
      <c r="B22" s="17">
        <f>0.3048*354</f>
        <v>107.89920000000001</v>
      </c>
      <c r="C22" s="19" t="s">
        <v>249</v>
      </c>
      <c r="D22" s="19"/>
      <c r="E22" s="39">
        <v>0.5201388888888889</v>
      </c>
      <c r="F22" s="39">
        <f>E22+10/24</f>
        <v>0.9368055555555557</v>
      </c>
    </row>
    <row r="23" spans="1:6" ht="12.75">
      <c r="A23">
        <v>196</v>
      </c>
      <c r="B23" s="17">
        <f>0.3048*461</f>
        <v>140.5128</v>
      </c>
      <c r="C23" s="19" t="s">
        <v>309</v>
      </c>
      <c r="D23" s="47" t="s">
        <v>286</v>
      </c>
      <c r="E23" s="39">
        <v>0.5298611111111111</v>
      </c>
      <c r="F23" s="39">
        <f>E23+10/24</f>
        <v>0.9465277777777779</v>
      </c>
    </row>
    <row r="24" spans="1:6" ht="12.75">
      <c r="A24">
        <v>216</v>
      </c>
      <c r="B24" s="17">
        <f>0.3048*546</f>
        <v>166.4208</v>
      </c>
      <c r="C24" s="19" t="s">
        <v>250</v>
      </c>
      <c r="D24" s="47" t="s">
        <v>286</v>
      </c>
      <c r="E24" s="39">
        <v>0.5472222222222223</v>
      </c>
      <c r="F24" s="39">
        <f>E24+10/24</f>
        <v>0.963888888888889</v>
      </c>
    </row>
    <row r="25" spans="1:6" ht="12.75">
      <c r="A25">
        <v>231</v>
      </c>
      <c r="B25" s="17">
        <f>0.3048*621</f>
        <v>189.2808</v>
      </c>
      <c r="C25" s="19" t="s">
        <v>310</v>
      </c>
      <c r="D25" s="47" t="s">
        <v>286</v>
      </c>
      <c r="E25" s="39">
        <v>0.5590277777777778</v>
      </c>
      <c r="F25" s="39">
        <f>E25+10/24</f>
        <v>0.9756944444444444</v>
      </c>
    </row>
    <row r="26" spans="1:6" ht="12.75">
      <c r="A26">
        <v>240</v>
      </c>
      <c r="B26" s="17">
        <f>0.3048*731</f>
        <v>222.80880000000002</v>
      </c>
      <c r="C26" s="19" t="s">
        <v>311</v>
      </c>
      <c r="D26" s="47" t="s">
        <v>286</v>
      </c>
      <c r="E26" s="39">
        <v>0.5659722222222222</v>
      </c>
      <c r="F26" s="39">
        <f>E26+10/24</f>
        <v>0.9826388888888888</v>
      </c>
    </row>
    <row r="27" spans="1:6" ht="12.75">
      <c r="A27">
        <v>248</v>
      </c>
      <c r="B27" s="17">
        <f>0.3048*879</f>
        <v>267.9192</v>
      </c>
      <c r="C27" s="19" t="s">
        <v>312</v>
      </c>
      <c r="D27" s="47" t="s">
        <v>286</v>
      </c>
      <c r="E27" s="39">
        <v>0.5736111111111111</v>
      </c>
      <c r="F27" s="39">
        <f>E27+10/24</f>
        <v>0.9902777777777778</v>
      </c>
    </row>
    <row r="28" spans="1:6" ht="12.75">
      <c r="A28">
        <v>257</v>
      </c>
      <c r="B28" s="17">
        <f>0.3048*1280</f>
        <v>390.144</v>
      </c>
      <c r="C28" s="19" t="s">
        <v>313</v>
      </c>
      <c r="D28" s="47" t="s">
        <v>286</v>
      </c>
      <c r="E28" s="39">
        <v>0.5840277777777778</v>
      </c>
      <c r="F28" s="39">
        <f>E28+10/24</f>
        <v>1.0006944444444446</v>
      </c>
    </row>
    <row r="29" spans="1:6" ht="12.75">
      <c r="A29">
        <v>269</v>
      </c>
      <c r="B29" s="17">
        <f>0.3048*1688</f>
        <v>514.5024000000001</v>
      </c>
      <c r="C29" s="19" t="s">
        <v>252</v>
      </c>
      <c r="D29" s="47" t="s">
        <v>286</v>
      </c>
      <c r="E29" s="39">
        <v>0.5993055555555555</v>
      </c>
      <c r="F29" s="39">
        <f>E29+10/24</f>
        <v>1.0159722222222223</v>
      </c>
    </row>
    <row r="30" spans="1:6" ht="12.75">
      <c r="A30">
        <v>281</v>
      </c>
      <c r="B30" s="17">
        <f>0.3048*1456</f>
        <v>443.78880000000004</v>
      </c>
      <c r="C30" t="s">
        <v>314</v>
      </c>
      <c r="D30" s="47" t="s">
        <v>286</v>
      </c>
      <c r="E30" s="39">
        <v>0.6152777777777778</v>
      </c>
      <c r="F30" s="39">
        <f>E30+10/24</f>
        <v>1.0319444444444446</v>
      </c>
    </row>
    <row r="31" spans="1:6" ht="12.75">
      <c r="A31">
        <v>294</v>
      </c>
      <c r="B31" s="17">
        <f>0.3048*1954</f>
        <v>595.5792</v>
      </c>
      <c r="C31" t="s">
        <v>315</v>
      </c>
      <c r="D31" s="47" t="s">
        <v>286</v>
      </c>
      <c r="E31" s="39">
        <v>0.6256944444444444</v>
      </c>
      <c r="F31" s="39">
        <f>E31+10/24</f>
        <v>1.042361111111111</v>
      </c>
    </row>
    <row r="32" spans="1:6" ht="12.75">
      <c r="A32">
        <v>306</v>
      </c>
      <c r="B32" s="17">
        <f>0.3048*2127</f>
        <v>648.3096</v>
      </c>
      <c r="C32" t="s">
        <v>253</v>
      </c>
      <c r="D32" s="47" t="s">
        <v>286</v>
      </c>
      <c r="E32" s="39">
        <v>0.6347222222222222</v>
      </c>
      <c r="F32" s="39">
        <f>E32+10/24</f>
        <v>1.051388888888889</v>
      </c>
    </row>
    <row r="33" spans="1:6" ht="12.75">
      <c r="A33">
        <v>319</v>
      </c>
      <c r="B33" s="17">
        <f>0.3048*2337</f>
        <v>712.3176000000001</v>
      </c>
      <c r="C33" t="s">
        <v>125</v>
      </c>
      <c r="D33" s="47" t="s">
        <v>286</v>
      </c>
      <c r="E33" s="39">
        <v>0.6444444444444445</v>
      </c>
      <c r="F33" s="39">
        <f>E33+10/24</f>
        <v>1.0611111111111111</v>
      </c>
    </row>
    <row r="34" spans="1:6" ht="12.75">
      <c r="A34">
        <v>330</v>
      </c>
      <c r="B34" s="17">
        <f>0.3048*2212</f>
        <v>674.2176000000001</v>
      </c>
      <c r="C34" t="s">
        <v>254</v>
      </c>
      <c r="D34" s="47"/>
      <c r="E34" s="39">
        <v>0.6534722222222222</v>
      </c>
      <c r="F34" s="39">
        <f>E34+10/24</f>
        <v>1.070138888888889</v>
      </c>
    </row>
    <row r="35" spans="1:6" ht="12.75">
      <c r="A35">
        <v>342</v>
      </c>
      <c r="B35" s="17">
        <f>0.3048*2056</f>
        <v>626.6688</v>
      </c>
      <c r="C35" s="19" t="s">
        <v>316</v>
      </c>
      <c r="D35" s="47" t="s">
        <v>286</v>
      </c>
      <c r="E35" s="39">
        <v>0.6638888888888889</v>
      </c>
      <c r="F35" s="39">
        <f>E35+10/24</f>
        <v>1.0805555555555555</v>
      </c>
    </row>
    <row r="36" spans="1:6" ht="12.75">
      <c r="A36">
        <v>354</v>
      </c>
      <c r="B36" s="17">
        <f>0.3048*1957</f>
        <v>596.4936</v>
      </c>
      <c r="C36" t="s">
        <v>317</v>
      </c>
      <c r="D36" s="47" t="s">
        <v>286</v>
      </c>
      <c r="E36" s="39">
        <v>0.6756944444444445</v>
      </c>
      <c r="F36" s="39">
        <f>E36+10/24</f>
        <v>1.0923611111111111</v>
      </c>
    </row>
    <row r="37" spans="1:6" ht="12.75">
      <c r="A37">
        <v>369</v>
      </c>
      <c r="B37" s="17">
        <f>0.3048*1890</f>
        <v>576.072</v>
      </c>
      <c r="C37" t="s">
        <v>318</v>
      </c>
      <c r="D37" s="47" t="s">
        <v>286</v>
      </c>
      <c r="E37" s="39">
        <v>0.6895833333333333</v>
      </c>
      <c r="F37" s="39">
        <f>E37+10/24</f>
        <v>1.10625</v>
      </c>
    </row>
    <row r="38" spans="1:6" ht="12.75">
      <c r="A38">
        <v>376</v>
      </c>
      <c r="B38" s="17">
        <f>0.3048*1732</f>
        <v>527.9136</v>
      </c>
      <c r="C38" s="39" t="s">
        <v>255</v>
      </c>
      <c r="D38" s="47"/>
      <c r="E38" s="39">
        <v>0.6979166666666666</v>
      </c>
      <c r="F38" s="39">
        <f>E38+10/24</f>
        <v>1.1145833333333333</v>
      </c>
    </row>
    <row r="39" spans="1:6" ht="12.75">
      <c r="A39">
        <v>388</v>
      </c>
      <c r="B39" s="17">
        <f>0.3048*1432</f>
        <v>436.47360000000003</v>
      </c>
      <c r="C39" t="s">
        <v>319</v>
      </c>
      <c r="D39" s="47" t="s">
        <v>286</v>
      </c>
      <c r="E39" s="39">
        <v>0.7180555555555556</v>
      </c>
      <c r="F39" s="39">
        <f>E39+10/24</f>
        <v>1.1347222222222222</v>
      </c>
    </row>
    <row r="40" spans="1:6" ht="12.75">
      <c r="A40">
        <v>393</v>
      </c>
      <c r="B40" s="17">
        <f>0.3048*1368</f>
        <v>416.9664</v>
      </c>
      <c r="C40" s="19" t="s">
        <v>256</v>
      </c>
      <c r="D40" s="19" t="s">
        <v>246</v>
      </c>
      <c r="E40" s="39">
        <v>0.725</v>
      </c>
      <c r="F40" s="39">
        <f>E40+10/24</f>
        <v>1.1416666666666666</v>
      </c>
    </row>
    <row r="41" spans="1:6" ht="12.75">
      <c r="A41">
        <v>393</v>
      </c>
      <c r="B41" s="17">
        <f>0.3048*1368</f>
        <v>416.9664</v>
      </c>
      <c r="C41" s="19" t="s">
        <v>256</v>
      </c>
      <c r="D41" s="19" t="s">
        <v>241</v>
      </c>
      <c r="E41" s="39">
        <v>0.7319444444444444</v>
      </c>
      <c r="F41" s="39">
        <f>E41+10/24</f>
        <v>1.148611111111111</v>
      </c>
    </row>
    <row r="42" spans="1:6" ht="12.75">
      <c r="A42">
        <v>401</v>
      </c>
      <c r="B42" s="17">
        <f>0.3048*1176</f>
        <v>358.44480000000004</v>
      </c>
      <c r="C42" t="s">
        <v>320</v>
      </c>
      <c r="D42" s="47" t="s">
        <v>286</v>
      </c>
      <c r="E42" s="39">
        <v>0.7388888888888889</v>
      </c>
      <c r="F42" s="39">
        <f>E42+10/24</f>
        <v>1.1555555555555557</v>
      </c>
    </row>
    <row r="43" spans="1:6" ht="12.75">
      <c r="A43">
        <v>413</v>
      </c>
      <c r="B43" s="17">
        <f>0.3048*1006</f>
        <v>306.6288</v>
      </c>
      <c r="C43" t="s">
        <v>321</v>
      </c>
      <c r="D43" s="47" t="s">
        <v>286</v>
      </c>
      <c r="E43" s="39">
        <v>0.7479166666666667</v>
      </c>
      <c r="F43" s="39">
        <f>E43+10/24</f>
        <v>1.1645833333333333</v>
      </c>
    </row>
    <row r="44" spans="1:6" ht="12.75">
      <c r="A44">
        <v>429</v>
      </c>
      <c r="B44" s="17">
        <f>0.3048*810</f>
        <v>246.888</v>
      </c>
      <c r="C44" t="s">
        <v>322</v>
      </c>
      <c r="D44" s="47" t="s">
        <v>286</v>
      </c>
      <c r="E44" s="39">
        <v>0.7583333333333333</v>
      </c>
      <c r="F44" s="39">
        <f>E44+10/24</f>
        <v>1.175</v>
      </c>
    </row>
    <row r="45" spans="1:6" ht="12.75">
      <c r="A45">
        <v>448</v>
      </c>
      <c r="B45" s="17">
        <f>0.3048*537</f>
        <v>163.6776</v>
      </c>
      <c r="C45" t="s">
        <v>323</v>
      </c>
      <c r="D45" s="47" t="s">
        <v>286</v>
      </c>
      <c r="E45" s="39">
        <v>0.7722222222222223</v>
      </c>
      <c r="F45" s="39">
        <f>E45+10/24</f>
        <v>1.1888888888888889</v>
      </c>
    </row>
    <row r="46" spans="1:6" ht="12.75">
      <c r="A46">
        <v>462</v>
      </c>
      <c r="B46" s="17">
        <f>0.3048*433</f>
        <v>131.9784</v>
      </c>
      <c r="C46" t="s">
        <v>324</v>
      </c>
      <c r="D46" s="47" t="s">
        <v>286</v>
      </c>
      <c r="E46" s="39">
        <v>0.7826388888888889</v>
      </c>
      <c r="F46" s="39">
        <f>E46+10/24</f>
        <v>1.1993055555555556</v>
      </c>
    </row>
    <row r="47" spans="1:6" ht="12.75">
      <c r="A47">
        <v>479</v>
      </c>
      <c r="B47" s="17">
        <f>0.3048*362</f>
        <v>110.33760000000001</v>
      </c>
      <c r="C47" s="19" t="s">
        <v>257</v>
      </c>
      <c r="D47" s="47"/>
      <c r="E47" s="39">
        <v>0.7965277777777777</v>
      </c>
      <c r="F47" s="39">
        <f>E47+10/24</f>
        <v>1.2131944444444445</v>
      </c>
    </row>
    <row r="48" spans="1:6" ht="12.75">
      <c r="A48">
        <v>484</v>
      </c>
      <c r="B48" s="17">
        <f>0.3048*367</f>
        <v>111.86160000000001</v>
      </c>
      <c r="C48" s="19" t="s">
        <v>325</v>
      </c>
      <c r="D48" s="47" t="s">
        <v>286</v>
      </c>
      <c r="E48" s="39">
        <v>0.8034722222222223</v>
      </c>
      <c r="F48" s="39">
        <f>E48+10/24</f>
        <v>1.2201388888888889</v>
      </c>
    </row>
    <row r="49" spans="1:6" ht="12.75">
      <c r="A49">
        <v>493</v>
      </c>
      <c r="B49" s="17">
        <f>0.3048*368</f>
        <v>112.16640000000001</v>
      </c>
      <c r="C49" s="19" t="s">
        <v>326</v>
      </c>
      <c r="D49" s="47" t="s">
        <v>286</v>
      </c>
      <c r="E49" s="39">
        <v>0.8090277777777778</v>
      </c>
      <c r="F49" s="39">
        <f>E49+10/24</f>
        <v>1.2256944444444444</v>
      </c>
    </row>
    <row r="50" spans="1:6" ht="12.75">
      <c r="A50">
        <v>511</v>
      </c>
      <c r="B50" s="17">
        <f>0.3048*368</f>
        <v>112.16640000000001</v>
      </c>
      <c r="C50" s="19" t="s">
        <v>327</v>
      </c>
      <c r="D50" s="47" t="s">
        <v>286</v>
      </c>
      <c r="E50" s="39">
        <v>0.8201388888888889</v>
      </c>
      <c r="F50" s="39">
        <f>E50+10/24</f>
        <v>1.2368055555555555</v>
      </c>
    </row>
    <row r="51" spans="1:6" ht="12.75">
      <c r="A51">
        <v>523</v>
      </c>
      <c r="B51" s="17">
        <f>0.3048*406</f>
        <v>123.7488</v>
      </c>
      <c r="C51" s="19" t="s">
        <v>328</v>
      </c>
      <c r="D51" s="47" t="s">
        <v>286</v>
      </c>
      <c r="E51" s="39">
        <v>0.8277777777777777</v>
      </c>
      <c r="F51" s="39">
        <f>E51+10/24</f>
        <v>1.2444444444444445</v>
      </c>
    </row>
    <row r="52" spans="1:6" ht="12.75">
      <c r="A52">
        <v>541</v>
      </c>
      <c r="B52" s="17">
        <f>0.3048*465</f>
        <v>141.732</v>
      </c>
      <c r="C52" s="19" t="s">
        <v>329</v>
      </c>
      <c r="D52" s="47" t="s">
        <v>286</v>
      </c>
      <c r="E52" s="39">
        <v>0.8402777777777778</v>
      </c>
      <c r="F52" s="39">
        <f>E52+10/24</f>
        <v>1.2569444444444444</v>
      </c>
    </row>
    <row r="53" spans="1:6" ht="12.75">
      <c r="A53">
        <v>550</v>
      </c>
      <c r="B53" s="17">
        <f>0.3048*520</f>
        <v>158.496</v>
      </c>
      <c r="C53" s="19" t="s">
        <v>330</v>
      </c>
      <c r="D53" s="47" t="s">
        <v>286</v>
      </c>
      <c r="E53" s="39">
        <v>0.8472222222222222</v>
      </c>
      <c r="F53" s="39">
        <f>E53+10/24</f>
        <v>1.2638888888888888</v>
      </c>
    </row>
    <row r="54" spans="1:6" ht="12.75">
      <c r="A54">
        <v>561</v>
      </c>
      <c r="B54" s="17">
        <f>0.3048*609</f>
        <v>185.6232</v>
      </c>
      <c r="C54" s="19" t="s">
        <v>331</v>
      </c>
      <c r="D54" s="47" t="s">
        <v>286</v>
      </c>
      <c r="E54" s="39">
        <v>0.8576388888888888</v>
      </c>
      <c r="F54" s="39">
        <f>E54+10/24</f>
        <v>1.2743055555555556</v>
      </c>
    </row>
    <row r="55" spans="1:6" ht="12.75">
      <c r="A55">
        <v>573</v>
      </c>
      <c r="B55" s="17">
        <f>0.3048*448</f>
        <v>136.5504</v>
      </c>
      <c r="C55" s="19" t="s">
        <v>258</v>
      </c>
      <c r="D55" s="19" t="s">
        <v>246</v>
      </c>
      <c r="E55" s="39">
        <v>0.8715277777777778</v>
      </c>
      <c r="F55" s="39">
        <f>E55+10/24</f>
        <v>1.2881944444444444</v>
      </c>
    </row>
    <row r="56" spans="1:4" ht="12.75">
      <c r="A56" s="16"/>
      <c r="C56" s="19" t="s">
        <v>290</v>
      </c>
      <c r="D56" s="19"/>
    </row>
    <row r="57" spans="5:6" ht="12.75">
      <c r="E57" s="41" t="s">
        <v>345</v>
      </c>
      <c r="F57" s="41" t="s">
        <v>345</v>
      </c>
    </row>
    <row r="58" spans="1:6" ht="12.75">
      <c r="A58" s="50" t="s">
        <v>2</v>
      </c>
      <c r="B58" s="36" t="s">
        <v>222</v>
      </c>
      <c r="C58" s="42" t="s">
        <v>237</v>
      </c>
      <c r="D58" s="19"/>
      <c r="E58" s="41" t="s">
        <v>57</v>
      </c>
      <c r="F58" s="41" t="s">
        <v>57</v>
      </c>
    </row>
    <row r="59" spans="1:6" ht="12.75">
      <c r="A59" s="16"/>
      <c r="C59" s="42" t="s">
        <v>383</v>
      </c>
      <c r="D59" s="19"/>
      <c r="E59">
        <v>5</v>
      </c>
      <c r="F59">
        <v>7</v>
      </c>
    </row>
    <row r="60" spans="1:6" ht="12.75">
      <c r="A60" s="16"/>
      <c r="C60" s="19"/>
      <c r="D60" s="19"/>
      <c r="E60" s="43" t="s">
        <v>42</v>
      </c>
      <c r="F60" s="43" t="s">
        <v>39</v>
      </c>
    </row>
    <row r="61" spans="1:6" ht="12.75">
      <c r="A61" s="17">
        <f>A55-A55</f>
        <v>0</v>
      </c>
      <c r="B61" s="17">
        <f>B55-B55</f>
        <v>0</v>
      </c>
      <c r="C61" s="19" t="s">
        <v>258</v>
      </c>
      <c r="D61" s="19" t="s">
        <v>241</v>
      </c>
      <c r="E61" s="39">
        <v>0.375</v>
      </c>
      <c r="F61" s="39">
        <f>E61+14/24</f>
        <v>0.9583333333333334</v>
      </c>
    </row>
    <row r="62" spans="1:6" ht="12.75">
      <c r="A62" s="17">
        <f>A55-A54</f>
        <v>12</v>
      </c>
      <c r="B62" s="17">
        <f>B54</f>
        <v>185.6232</v>
      </c>
      <c r="C62" s="19" t="s">
        <v>331</v>
      </c>
      <c r="D62" s="47" t="s">
        <v>286</v>
      </c>
      <c r="E62" s="39">
        <v>0.3854166666666667</v>
      </c>
      <c r="F62" s="39">
        <f>E62+14/24</f>
        <v>0.96875</v>
      </c>
    </row>
    <row r="63" spans="1:6" ht="12.75">
      <c r="A63" s="17">
        <f>A55-A53</f>
        <v>23</v>
      </c>
      <c r="B63" s="17">
        <f>B53</f>
        <v>158.496</v>
      </c>
      <c r="C63" s="19" t="s">
        <v>330</v>
      </c>
      <c r="D63" s="47" t="s">
        <v>286</v>
      </c>
      <c r="E63" s="39">
        <v>0.3958333333333333</v>
      </c>
      <c r="F63" s="39">
        <f>E63+14/24</f>
        <v>0.9791666666666667</v>
      </c>
    </row>
    <row r="64" spans="1:6" ht="12.75">
      <c r="A64" s="17">
        <f>A55-A52</f>
        <v>32</v>
      </c>
      <c r="B64" s="17">
        <f>B52</f>
        <v>141.732</v>
      </c>
      <c r="C64" s="19" t="s">
        <v>329</v>
      </c>
      <c r="D64" s="47" t="s">
        <v>286</v>
      </c>
      <c r="E64" s="39">
        <v>0.4027777777777778</v>
      </c>
      <c r="F64" s="39">
        <f>E64+14/24</f>
        <v>0.9861111111111112</v>
      </c>
    </row>
    <row r="65" spans="1:6" ht="12.75">
      <c r="A65" s="17">
        <f>A55-A51</f>
        <v>50</v>
      </c>
      <c r="B65" s="17">
        <f>B51</f>
        <v>123.7488</v>
      </c>
      <c r="C65" s="19" t="s">
        <v>328</v>
      </c>
      <c r="D65" s="47" t="s">
        <v>286</v>
      </c>
      <c r="E65" s="39">
        <v>0.41458333333333336</v>
      </c>
      <c r="F65" s="39">
        <f>E65+14/24</f>
        <v>0.9979166666666668</v>
      </c>
    </row>
    <row r="66" spans="1:6" ht="12.75">
      <c r="A66" s="17">
        <f>A55-A50</f>
        <v>62</v>
      </c>
      <c r="B66" s="17">
        <f>B50</f>
        <v>112.16640000000001</v>
      </c>
      <c r="C66" s="19" t="s">
        <v>327</v>
      </c>
      <c r="D66" s="47" t="s">
        <v>286</v>
      </c>
      <c r="E66" s="39">
        <v>0.4222222222222222</v>
      </c>
      <c r="F66" s="39">
        <f>E66+14/24</f>
        <v>1.0055555555555555</v>
      </c>
    </row>
    <row r="67" spans="1:6" ht="12.75">
      <c r="A67" s="17">
        <f>A55-A49</f>
        <v>80</v>
      </c>
      <c r="B67" s="17">
        <f>B49</f>
        <v>112.16640000000001</v>
      </c>
      <c r="C67" s="19" t="s">
        <v>326</v>
      </c>
      <c r="D67" s="47" t="s">
        <v>286</v>
      </c>
      <c r="E67" s="39">
        <v>0.43333333333333335</v>
      </c>
      <c r="F67" s="39">
        <f>E67+14/24</f>
        <v>1.0166666666666666</v>
      </c>
    </row>
    <row r="68" spans="1:6" ht="12.75">
      <c r="A68" s="17">
        <f>A55-A48</f>
        <v>89</v>
      </c>
      <c r="B68" s="17">
        <f>B48</f>
        <v>111.86160000000001</v>
      </c>
      <c r="C68" s="19" t="s">
        <v>325</v>
      </c>
      <c r="D68" s="47" t="s">
        <v>286</v>
      </c>
      <c r="E68" s="39">
        <v>0.4388888888888889</v>
      </c>
      <c r="F68" s="39">
        <f>E68+14/24</f>
        <v>1.0222222222222221</v>
      </c>
    </row>
    <row r="69" spans="1:6" ht="12.75">
      <c r="A69" s="17">
        <f>A55-A47</f>
        <v>94</v>
      </c>
      <c r="B69" s="17">
        <f>B47</f>
        <v>110.33760000000001</v>
      </c>
      <c r="C69" s="19" t="s">
        <v>257</v>
      </c>
      <c r="D69" s="47"/>
      <c r="E69" s="39">
        <v>0.44722222222222224</v>
      </c>
      <c r="F69" s="39">
        <f>E69+14/24</f>
        <v>1.0305555555555557</v>
      </c>
    </row>
    <row r="70" spans="1:6" ht="12.75">
      <c r="A70" s="17">
        <f>A55-A46</f>
        <v>111</v>
      </c>
      <c r="B70" s="17">
        <f>B46</f>
        <v>131.9784</v>
      </c>
      <c r="C70" t="s">
        <v>324</v>
      </c>
      <c r="D70" s="47" t="s">
        <v>286</v>
      </c>
      <c r="E70" s="39">
        <v>0.4576388888888889</v>
      </c>
      <c r="F70" s="39">
        <f>E70+14/24</f>
        <v>1.0409722222222222</v>
      </c>
    </row>
    <row r="71" spans="1:6" ht="12.75">
      <c r="A71" s="17">
        <f>A55-A45</f>
        <v>125</v>
      </c>
      <c r="B71" s="17">
        <f>B45</f>
        <v>163.6776</v>
      </c>
      <c r="C71" t="s">
        <v>323</v>
      </c>
      <c r="D71" s="47" t="s">
        <v>286</v>
      </c>
      <c r="E71" s="39">
        <v>0.46805555555555556</v>
      </c>
      <c r="F71" s="39">
        <f>E71+14/24</f>
        <v>1.051388888888889</v>
      </c>
    </row>
    <row r="72" spans="1:6" ht="12.75">
      <c r="A72" s="17">
        <f>A55-A44</f>
        <v>144</v>
      </c>
      <c r="B72" s="17">
        <f>B44</f>
        <v>246.888</v>
      </c>
      <c r="C72" t="s">
        <v>322</v>
      </c>
      <c r="D72" s="47" t="s">
        <v>286</v>
      </c>
      <c r="E72" s="39">
        <v>0.48125</v>
      </c>
      <c r="F72" s="39">
        <f>E72+14/24</f>
        <v>1.0645833333333334</v>
      </c>
    </row>
    <row r="73" spans="1:6" ht="12.75">
      <c r="A73" s="17">
        <f>A55-A43</f>
        <v>160</v>
      </c>
      <c r="B73" s="17">
        <f>B43</f>
        <v>306.6288</v>
      </c>
      <c r="C73" t="s">
        <v>321</v>
      </c>
      <c r="D73" s="47" t="s">
        <v>286</v>
      </c>
      <c r="E73" s="39">
        <v>0.49166666666666664</v>
      </c>
      <c r="F73" s="39">
        <f>E73+14/24</f>
        <v>1.075</v>
      </c>
    </row>
    <row r="74" spans="1:6" ht="12.75">
      <c r="A74" s="17">
        <f>A55-A42</f>
        <v>172</v>
      </c>
      <c r="B74" s="17">
        <f>B42</f>
        <v>358.44480000000004</v>
      </c>
      <c r="C74" t="s">
        <v>320</v>
      </c>
      <c r="D74" s="47" t="s">
        <v>286</v>
      </c>
      <c r="E74" s="39">
        <v>0.5006944444444444</v>
      </c>
      <c r="F74" s="39">
        <f>E74+14/24</f>
        <v>1.0840277777777778</v>
      </c>
    </row>
    <row r="75" spans="1:6" ht="12.75">
      <c r="A75" s="17">
        <f>A55-A41</f>
        <v>180</v>
      </c>
      <c r="B75" s="17">
        <f>B41</f>
        <v>416.9664</v>
      </c>
      <c r="C75" s="19" t="s">
        <v>256</v>
      </c>
      <c r="D75" s="19" t="s">
        <v>246</v>
      </c>
      <c r="E75" s="39">
        <v>0.50625</v>
      </c>
      <c r="F75" s="39">
        <f>E75+14/24</f>
        <v>1.0895833333333333</v>
      </c>
    </row>
    <row r="76" spans="1:6" ht="12.75">
      <c r="A76" s="17">
        <f>A55-A40</f>
        <v>180</v>
      </c>
      <c r="B76" s="17">
        <f>B40</f>
        <v>416.9664</v>
      </c>
      <c r="C76" s="19" t="s">
        <v>256</v>
      </c>
      <c r="D76" s="19" t="s">
        <v>241</v>
      </c>
      <c r="E76" s="39">
        <v>0.5131944444444444</v>
      </c>
      <c r="F76" s="39">
        <f>E76+14/24</f>
        <v>1.0965277777777778</v>
      </c>
    </row>
    <row r="77" spans="1:6" ht="12.75">
      <c r="A77" s="17">
        <f>A55-A39</f>
        <v>185</v>
      </c>
      <c r="B77" s="17">
        <f>B39</f>
        <v>436.47360000000003</v>
      </c>
      <c r="C77" t="s">
        <v>319</v>
      </c>
      <c r="D77" s="47" t="s">
        <v>286</v>
      </c>
      <c r="E77" s="39">
        <v>0.5201388888888889</v>
      </c>
      <c r="F77" s="39">
        <f>E77+14/24</f>
        <v>1.1034722222222224</v>
      </c>
    </row>
    <row r="78" spans="1:6" ht="12.75">
      <c r="A78" s="17">
        <f>A55-A38</f>
        <v>197</v>
      </c>
      <c r="B78" s="17">
        <f>B38</f>
        <v>527.9136</v>
      </c>
      <c r="C78" s="39" t="s">
        <v>255</v>
      </c>
      <c r="D78" s="47"/>
      <c r="E78" s="39">
        <v>0.5416666666666666</v>
      </c>
      <c r="F78" s="39">
        <f>E78+14/24</f>
        <v>1.125</v>
      </c>
    </row>
    <row r="79" spans="1:6" ht="12.75">
      <c r="A79" s="17">
        <f>A55-A37</f>
        <v>204</v>
      </c>
      <c r="B79" s="17">
        <f>B37</f>
        <v>576.072</v>
      </c>
      <c r="C79" t="s">
        <v>318</v>
      </c>
      <c r="D79" s="47" t="s">
        <v>286</v>
      </c>
      <c r="E79" s="39">
        <v>0.5486111111111112</v>
      </c>
      <c r="F79" s="39">
        <f>E79+14/24</f>
        <v>1.1319444444444446</v>
      </c>
    </row>
    <row r="80" spans="1:6" ht="12.75">
      <c r="A80" s="17">
        <f>A55-A36</f>
        <v>219</v>
      </c>
      <c r="B80" s="17">
        <f>B36</f>
        <v>596.4936</v>
      </c>
      <c r="C80" t="s">
        <v>317</v>
      </c>
      <c r="D80" s="47" t="s">
        <v>286</v>
      </c>
      <c r="E80" s="39">
        <v>0.5618055555555556</v>
      </c>
      <c r="F80" s="39">
        <f>E80+14/24</f>
        <v>1.145138888888889</v>
      </c>
    </row>
    <row r="81" spans="1:6" ht="12.75">
      <c r="A81" s="17">
        <f>A55-A35</f>
        <v>231</v>
      </c>
      <c r="B81" s="17">
        <f>B35</f>
        <v>626.6688</v>
      </c>
      <c r="C81" s="19" t="s">
        <v>316</v>
      </c>
      <c r="D81" s="47" t="s">
        <v>286</v>
      </c>
      <c r="E81" s="39">
        <v>0.5722222222222222</v>
      </c>
      <c r="F81" s="39">
        <f>E81+14/24</f>
        <v>1.1555555555555554</v>
      </c>
    </row>
    <row r="82" spans="1:6" ht="12.75">
      <c r="A82" s="17">
        <f>A55-A34</f>
        <v>243</v>
      </c>
      <c r="B82" s="17">
        <f>B34</f>
        <v>674.2176000000001</v>
      </c>
      <c r="C82" t="s">
        <v>254</v>
      </c>
      <c r="D82" s="47"/>
      <c r="E82" s="39">
        <v>0.5826388888888889</v>
      </c>
      <c r="F82" s="39">
        <f>E82+14/24</f>
        <v>1.1659722222222224</v>
      </c>
    </row>
    <row r="83" spans="1:6" ht="12.75">
      <c r="A83" s="17">
        <f>A55-A33</f>
        <v>254</v>
      </c>
      <c r="B83" s="17">
        <f>B33</f>
        <v>712.3176000000001</v>
      </c>
      <c r="C83" t="s">
        <v>125</v>
      </c>
      <c r="D83" s="47" t="s">
        <v>286</v>
      </c>
      <c r="E83" s="39">
        <v>0.5916666666666667</v>
      </c>
      <c r="F83" s="39">
        <f>E83+14/24</f>
        <v>1.175</v>
      </c>
    </row>
    <row r="84" spans="1:6" ht="12.75">
      <c r="A84" s="17">
        <f>A55-A32</f>
        <v>267</v>
      </c>
      <c r="B84" s="17">
        <f>B32</f>
        <v>648.3096</v>
      </c>
      <c r="C84" t="s">
        <v>253</v>
      </c>
      <c r="D84" s="47" t="s">
        <v>286</v>
      </c>
      <c r="E84" s="39">
        <v>0.6006944444444444</v>
      </c>
      <c r="F84" s="39">
        <f>E84+14/24</f>
        <v>1.1840277777777777</v>
      </c>
    </row>
    <row r="85" spans="1:6" ht="12.75">
      <c r="A85" s="17">
        <f>A55-A31</f>
        <v>279</v>
      </c>
      <c r="B85" s="17">
        <f>B31</f>
        <v>595.5792</v>
      </c>
      <c r="C85" t="s">
        <v>315</v>
      </c>
      <c r="D85" s="47" t="s">
        <v>286</v>
      </c>
      <c r="E85" s="39">
        <v>0.6076388888888888</v>
      </c>
      <c r="F85" s="39">
        <f>E85+14/24</f>
        <v>1.1909722222222223</v>
      </c>
    </row>
    <row r="86" spans="1:6" ht="12.75">
      <c r="A86" s="17">
        <f>A55-A30</f>
        <v>292</v>
      </c>
      <c r="B86" s="17">
        <f>B30</f>
        <v>443.78880000000004</v>
      </c>
      <c r="C86" t="s">
        <v>314</v>
      </c>
      <c r="D86" s="47" t="s">
        <v>286</v>
      </c>
      <c r="E86" s="39">
        <v>0.6208333333333333</v>
      </c>
      <c r="F86" s="39">
        <f>E86+14/24</f>
        <v>1.2041666666666666</v>
      </c>
    </row>
    <row r="87" spans="1:6" ht="12.75">
      <c r="A87" s="17">
        <f>A55-A29</f>
        <v>304</v>
      </c>
      <c r="B87" s="17">
        <f>B29</f>
        <v>514.5024000000001</v>
      </c>
      <c r="C87" s="19" t="s">
        <v>252</v>
      </c>
      <c r="D87" s="47" t="s">
        <v>286</v>
      </c>
      <c r="E87" s="39">
        <v>0.6347222222222222</v>
      </c>
      <c r="F87" s="39">
        <f>E87+14/24</f>
        <v>1.2180555555555554</v>
      </c>
    </row>
    <row r="88" spans="1:6" ht="12.75">
      <c r="A88" s="17">
        <f>A55-A28</f>
        <v>316</v>
      </c>
      <c r="B88" s="17">
        <f>B28</f>
        <v>390.144</v>
      </c>
      <c r="C88" s="19" t="s">
        <v>313</v>
      </c>
      <c r="D88" s="47" t="s">
        <v>286</v>
      </c>
      <c r="E88" s="39">
        <v>0.6451388888888889</v>
      </c>
      <c r="F88" s="39">
        <f>E88+14/24</f>
        <v>1.2284722222222224</v>
      </c>
    </row>
    <row r="89" spans="1:6" ht="12.75">
      <c r="A89" s="17">
        <f>A55-A27</f>
        <v>325</v>
      </c>
      <c r="B89" s="17">
        <f>B27</f>
        <v>267.9192</v>
      </c>
      <c r="C89" s="19" t="s">
        <v>312</v>
      </c>
      <c r="D89" s="47" t="s">
        <v>286</v>
      </c>
      <c r="E89" s="39">
        <v>0.6534722222222222</v>
      </c>
      <c r="F89" s="39">
        <f>E89+14/24</f>
        <v>1.2368055555555557</v>
      </c>
    </row>
    <row r="90" spans="1:6" ht="12.75">
      <c r="A90" s="17">
        <f>A55-A26</f>
        <v>333</v>
      </c>
      <c r="B90" s="17">
        <f>B26</f>
        <v>222.80880000000002</v>
      </c>
      <c r="C90" s="19" t="s">
        <v>311</v>
      </c>
      <c r="D90" s="47" t="s">
        <v>286</v>
      </c>
      <c r="E90" s="39">
        <v>0.6604166666666667</v>
      </c>
      <c r="F90" s="39">
        <f>E90+14/24</f>
        <v>1.24375</v>
      </c>
    </row>
    <row r="91" spans="1:6" ht="12.75">
      <c r="A91" s="17">
        <f>A55-A25</f>
        <v>342</v>
      </c>
      <c r="B91" s="17">
        <f>B25</f>
        <v>189.2808</v>
      </c>
      <c r="C91" s="19" t="s">
        <v>310</v>
      </c>
      <c r="D91" s="47" t="s">
        <v>286</v>
      </c>
      <c r="E91" s="39">
        <v>0.6673611111111111</v>
      </c>
      <c r="F91" s="39">
        <f>E91+14/24</f>
        <v>1.2506944444444446</v>
      </c>
    </row>
    <row r="92" spans="1:6" ht="12.75">
      <c r="A92" s="17">
        <f>A55-A24</f>
        <v>357</v>
      </c>
      <c r="B92" s="17">
        <f>B24</f>
        <v>166.4208</v>
      </c>
      <c r="C92" s="19" t="s">
        <v>250</v>
      </c>
      <c r="D92" s="47" t="s">
        <v>286</v>
      </c>
      <c r="E92" s="39">
        <v>0.6840277777777778</v>
      </c>
      <c r="F92" s="39">
        <f>E92+14/24</f>
        <v>1.2673611111111112</v>
      </c>
    </row>
    <row r="93" spans="1:6" ht="12.75">
      <c r="A93" s="17">
        <f>A55-A23</f>
        <v>377</v>
      </c>
      <c r="B93" s="17">
        <f>B23</f>
        <v>140.5128</v>
      </c>
      <c r="C93" s="19" t="s">
        <v>309</v>
      </c>
      <c r="D93" s="47" t="s">
        <v>286</v>
      </c>
      <c r="E93" s="39">
        <v>0.6979166666666666</v>
      </c>
      <c r="F93" s="39">
        <f>E93+14/24</f>
        <v>1.28125</v>
      </c>
    </row>
    <row r="94" spans="1:6" ht="12.75">
      <c r="A94" s="17">
        <f>A55-A22</f>
        <v>392</v>
      </c>
      <c r="B94" s="17">
        <f>B22</f>
        <v>107.89920000000001</v>
      </c>
      <c r="C94" s="19" t="s">
        <v>249</v>
      </c>
      <c r="D94" s="19"/>
      <c r="E94" s="39">
        <v>0.7097222222222223</v>
      </c>
      <c r="F94" s="39">
        <f>E94+14/24</f>
        <v>1.2930555555555556</v>
      </c>
    </row>
    <row r="95" spans="1:6" ht="12.75">
      <c r="A95" s="17">
        <f>A55-A21</f>
        <v>410</v>
      </c>
      <c r="B95" s="17">
        <f>B21</f>
        <v>99.9744</v>
      </c>
      <c r="C95" t="s">
        <v>307</v>
      </c>
      <c r="D95" s="47" t="s">
        <v>286</v>
      </c>
      <c r="E95" s="39">
        <v>0.7215277777777778</v>
      </c>
      <c r="F95" s="39">
        <f>E95+14/24</f>
        <v>1.3048611111111112</v>
      </c>
    </row>
    <row r="96" spans="1:7" ht="12.75">
      <c r="A96" s="17">
        <f>A55-A20</f>
        <v>420</v>
      </c>
      <c r="B96" s="17">
        <f>B20</f>
        <v>85.95360000000001</v>
      </c>
      <c r="C96" t="s">
        <v>305</v>
      </c>
      <c r="D96" s="47" t="s">
        <v>286</v>
      </c>
      <c r="E96" s="39">
        <v>0.7284722222222222</v>
      </c>
      <c r="F96" s="39">
        <f>E96+14/24</f>
        <v>1.3118055555555554</v>
      </c>
      <c r="G96" s="32"/>
    </row>
    <row r="97" spans="1:7" ht="12.75">
      <c r="A97" s="17">
        <f>A55-A19</f>
        <v>431</v>
      </c>
      <c r="B97" s="17">
        <f>B19</f>
        <v>74.9808</v>
      </c>
      <c r="C97" t="s">
        <v>303</v>
      </c>
      <c r="D97" s="47" t="s">
        <v>286</v>
      </c>
      <c r="E97" s="39">
        <v>0.7368055555555556</v>
      </c>
      <c r="F97" s="39">
        <f>E97+14/24</f>
        <v>1.320138888888889</v>
      </c>
      <c r="G97" s="32"/>
    </row>
    <row r="98" spans="1:7" ht="12.75">
      <c r="A98" s="17">
        <f>A55-A18</f>
        <v>445</v>
      </c>
      <c r="B98" s="17">
        <f>B18</f>
        <v>71.9328</v>
      </c>
      <c r="C98" t="s">
        <v>302</v>
      </c>
      <c r="D98" s="47" t="s">
        <v>286</v>
      </c>
      <c r="E98" s="39">
        <v>0.7465277777777778</v>
      </c>
      <c r="F98" s="39">
        <f>E98+14/24</f>
        <v>1.3298611111111112</v>
      </c>
      <c r="G98" s="32"/>
    </row>
    <row r="99" spans="1:7" ht="12.75">
      <c r="A99" s="17">
        <f>A55-A17</f>
        <v>450</v>
      </c>
      <c r="B99" s="17">
        <f>B17</f>
        <v>53.34</v>
      </c>
      <c r="C99" t="s">
        <v>301</v>
      </c>
      <c r="D99" s="47" t="s">
        <v>286</v>
      </c>
      <c r="E99" s="39">
        <v>0.75</v>
      </c>
      <c r="F99" s="39">
        <f>E99+14/24</f>
        <v>1.3333333333333335</v>
      </c>
      <c r="G99" s="32"/>
    </row>
    <row r="100" spans="1:7" ht="12.75">
      <c r="A100" s="17">
        <f>A55-A16</f>
        <v>458</v>
      </c>
      <c r="B100" s="17">
        <f>B16</f>
        <v>70.7136</v>
      </c>
      <c r="C100" t="s">
        <v>300</v>
      </c>
      <c r="D100" s="47" t="s">
        <v>286</v>
      </c>
      <c r="E100" s="39">
        <v>0.7569444444444444</v>
      </c>
      <c r="F100" s="39">
        <f>E100+14/24</f>
        <v>1.3402777777777777</v>
      </c>
      <c r="G100" s="32"/>
    </row>
    <row r="101" spans="1:7" ht="12.75">
      <c r="A101" s="17">
        <f>A55-A15</f>
        <v>466</v>
      </c>
      <c r="B101" s="17">
        <f>B15</f>
        <v>71.9328</v>
      </c>
      <c r="C101" t="s">
        <v>299</v>
      </c>
      <c r="D101" s="47" t="s">
        <v>286</v>
      </c>
      <c r="E101" s="39">
        <v>0.7618055555555555</v>
      </c>
      <c r="F101" s="39">
        <f>E101+14/24</f>
        <v>1.3451388888888889</v>
      </c>
      <c r="G101" s="32"/>
    </row>
    <row r="102" spans="1:7" ht="12.75">
      <c r="A102" s="17">
        <f>A55-A14</f>
        <v>475</v>
      </c>
      <c r="B102" s="17">
        <f>B14</f>
        <v>74.9808</v>
      </c>
      <c r="C102" t="s">
        <v>298</v>
      </c>
      <c r="D102" s="47" t="s">
        <v>286</v>
      </c>
      <c r="E102" s="39">
        <v>0.7694444444444445</v>
      </c>
      <c r="F102" s="39">
        <f>E102+14/24</f>
        <v>1.3527777777777779</v>
      </c>
      <c r="G102" s="34"/>
    </row>
    <row r="103" spans="1:7" ht="12.75">
      <c r="A103" s="17">
        <f>A55-A13</f>
        <v>489</v>
      </c>
      <c r="B103" s="17">
        <f>B13</f>
        <v>91.44</v>
      </c>
      <c r="C103" s="19" t="s">
        <v>297</v>
      </c>
      <c r="D103" s="47" t="s">
        <v>286</v>
      </c>
      <c r="E103" s="39">
        <v>0.7784722222222222</v>
      </c>
      <c r="F103" s="39">
        <f>E103+14/24</f>
        <v>1.3618055555555557</v>
      </c>
      <c r="G103" s="32"/>
    </row>
    <row r="104" spans="1:7" ht="12.75">
      <c r="A104" s="17">
        <f>A55-A12</f>
        <v>500</v>
      </c>
      <c r="B104" s="17">
        <f>B12</f>
        <v>103.3272</v>
      </c>
      <c r="C104" s="19" t="s">
        <v>248</v>
      </c>
      <c r="D104" s="47"/>
      <c r="E104" s="39">
        <v>0.7868055555555555</v>
      </c>
      <c r="F104" s="39">
        <f>E104+14/24</f>
        <v>1.370138888888889</v>
      </c>
      <c r="G104" s="32"/>
    </row>
    <row r="105" spans="1:7" ht="12.75">
      <c r="A105" s="17">
        <f>A55-A11</f>
        <v>514</v>
      </c>
      <c r="B105" s="17">
        <f>B11</f>
        <v>10.972800000000001</v>
      </c>
      <c r="C105" s="19" t="s">
        <v>247</v>
      </c>
      <c r="D105" s="47" t="s">
        <v>286</v>
      </c>
      <c r="E105" s="39">
        <v>0.8041666666666667</v>
      </c>
      <c r="F105" s="39">
        <f>E105+14/24</f>
        <v>1.3875000000000002</v>
      </c>
      <c r="G105" s="32"/>
    </row>
    <row r="106" spans="1:7" ht="12.75">
      <c r="A106" s="17">
        <f>A55-A10</f>
        <v>530</v>
      </c>
      <c r="B106" s="17">
        <f>B10</f>
        <v>15.24</v>
      </c>
      <c r="C106" s="19" t="s">
        <v>296</v>
      </c>
      <c r="D106" s="47" t="s">
        <v>286</v>
      </c>
      <c r="E106" s="39">
        <v>0.8152777777777778</v>
      </c>
      <c r="F106" s="39">
        <f>E106+14/24</f>
        <v>1.3986111111111112</v>
      </c>
      <c r="G106" s="34"/>
    </row>
    <row r="107" spans="1:7" ht="12.75">
      <c r="A107" s="17">
        <f>A55-A9</f>
        <v>538</v>
      </c>
      <c r="B107" s="17">
        <f>B9</f>
        <v>28.041600000000003</v>
      </c>
      <c r="C107" s="19" t="s">
        <v>295</v>
      </c>
      <c r="D107" s="47" t="s">
        <v>286</v>
      </c>
      <c r="E107" s="39">
        <v>0.8229166666666666</v>
      </c>
      <c r="F107" s="39">
        <f>E107+14/24</f>
        <v>1.40625</v>
      </c>
      <c r="G107" s="32"/>
    </row>
    <row r="108" spans="1:7" ht="12.75">
      <c r="A108" s="17">
        <f>A55-A8</f>
        <v>553</v>
      </c>
      <c r="B108" s="17">
        <f>B8</f>
        <v>60.0456</v>
      </c>
      <c r="C108" s="19" t="s">
        <v>294</v>
      </c>
      <c r="D108" s="47" t="s">
        <v>286</v>
      </c>
      <c r="E108" s="39">
        <v>0.8368055555555556</v>
      </c>
      <c r="F108" s="39">
        <f>E108+14/24</f>
        <v>1.4201388888888888</v>
      </c>
      <c r="G108" s="32"/>
    </row>
    <row r="109" spans="1:7" ht="12.75">
      <c r="A109" s="17">
        <f>A55-A7</f>
        <v>565</v>
      </c>
      <c r="B109" s="17">
        <f>B7</f>
        <v>67.6656</v>
      </c>
      <c r="C109" s="19" t="s">
        <v>293</v>
      </c>
      <c r="D109" s="47" t="s">
        <v>286</v>
      </c>
      <c r="E109" s="39">
        <v>0.8479166666666667</v>
      </c>
      <c r="F109" s="39">
        <f>E109+14/24</f>
        <v>1.43125</v>
      </c>
      <c r="G109" s="32"/>
    </row>
    <row r="110" spans="1:7" ht="12.75">
      <c r="A110" s="17">
        <f>A55-A6</f>
        <v>569</v>
      </c>
      <c r="B110" s="17">
        <f>B6</f>
        <v>12.192</v>
      </c>
      <c r="C110" s="19" t="s">
        <v>292</v>
      </c>
      <c r="D110" s="47" t="s">
        <v>286</v>
      </c>
      <c r="E110" s="39">
        <v>0.8513888888888889</v>
      </c>
      <c r="F110" s="39">
        <v>0.43680555555555556</v>
      </c>
      <c r="G110" s="32"/>
    </row>
    <row r="111" spans="1:7" ht="12.75">
      <c r="A111" s="17">
        <f>A55-A5</f>
        <v>573</v>
      </c>
      <c r="B111" s="17">
        <f>B5</f>
        <v>11.5824</v>
      </c>
      <c r="C111" s="19" t="s">
        <v>245</v>
      </c>
      <c r="D111" s="19" t="s">
        <v>246</v>
      </c>
      <c r="E111" s="39">
        <v>0.8611111111111112</v>
      </c>
      <c r="F111" s="39">
        <f>E111+14/24</f>
        <v>1.4444444444444446</v>
      </c>
      <c r="G111" s="32"/>
    </row>
    <row r="112" spans="3:7" ht="12.75">
      <c r="C112" s="19" t="s">
        <v>290</v>
      </c>
      <c r="D112" s="19"/>
      <c r="G112" s="18"/>
    </row>
    <row r="115" spans="1:4" ht="12.75">
      <c r="A115" s="50" t="s">
        <v>2</v>
      </c>
      <c r="B115" s="36" t="s">
        <v>222</v>
      </c>
      <c r="C115" s="42" t="s">
        <v>237</v>
      </c>
      <c r="D115" s="19"/>
    </row>
    <row r="116" spans="1:4" ht="12.75">
      <c r="A116" s="16"/>
      <c r="C116" s="42" t="s">
        <v>383</v>
      </c>
      <c r="D116" s="19"/>
    </row>
    <row r="117" spans="1:5" ht="12.75">
      <c r="A117" s="32">
        <v>0</v>
      </c>
      <c r="B117" s="17">
        <f>0.3048*38</f>
        <v>11.5824</v>
      </c>
      <c r="C117" s="19" t="s">
        <v>245</v>
      </c>
      <c r="D117" s="19" t="s">
        <v>241</v>
      </c>
      <c r="E117" t="s">
        <v>238</v>
      </c>
    </row>
    <row r="118" spans="1:6" ht="12.75">
      <c r="A118" s="46">
        <v>80.61</v>
      </c>
      <c r="B118" s="17">
        <f>0.3048*33</f>
        <v>10.0584</v>
      </c>
      <c r="C118" s="19" t="s">
        <v>270</v>
      </c>
      <c r="D118" s="19" t="s">
        <v>246</v>
      </c>
      <c r="F118" s="39"/>
    </row>
    <row r="119" spans="1:6" ht="12.75">
      <c r="A119" s="46">
        <v>80.61</v>
      </c>
      <c r="B119" s="17">
        <f>0.3048*33</f>
        <v>10.0584</v>
      </c>
      <c r="C119" s="19" t="s">
        <v>270</v>
      </c>
      <c r="D119" s="19" t="s">
        <v>241</v>
      </c>
      <c r="F119" s="40"/>
    </row>
    <row r="120" spans="1:6" ht="12.75">
      <c r="A120" s="46">
        <v>100.56</v>
      </c>
      <c r="B120" s="17">
        <f>0.3048*21</f>
        <v>6.4008</v>
      </c>
      <c r="C120" s="19" t="s">
        <v>281</v>
      </c>
      <c r="D120" s="19" t="s">
        <v>246</v>
      </c>
      <c r="F120" s="40"/>
    </row>
    <row r="121" spans="1:6" ht="12.75">
      <c r="A121" s="46"/>
      <c r="B121" s="17"/>
      <c r="C121" s="19"/>
      <c r="D121" s="19"/>
      <c r="F121" s="37"/>
    </row>
    <row r="122" spans="4:6" ht="12.75">
      <c r="D122" s="19"/>
      <c r="F122" s="40"/>
    </row>
    <row r="123" spans="1:6" ht="12.75">
      <c r="A123" s="50" t="s">
        <v>2</v>
      </c>
      <c r="B123" s="36" t="s">
        <v>222</v>
      </c>
      <c r="C123" s="42" t="s">
        <v>223</v>
      </c>
      <c r="D123" s="19"/>
      <c r="F123" s="40"/>
    </row>
    <row r="124" spans="1:4" ht="12.75">
      <c r="A124" s="16"/>
      <c r="C124" s="42" t="s">
        <v>383</v>
      </c>
      <c r="D124" s="19"/>
    </row>
    <row r="125" spans="1:5" ht="12.75">
      <c r="A125" s="32">
        <f>A120-A120</f>
        <v>0</v>
      </c>
      <c r="B125" s="17">
        <f>B120</f>
        <v>6.4008</v>
      </c>
      <c r="C125" s="19" t="s">
        <v>281</v>
      </c>
      <c r="D125" s="19" t="s">
        <v>241</v>
      </c>
      <c r="E125" t="s">
        <v>226</v>
      </c>
    </row>
    <row r="126" spans="1:4" ht="12.75">
      <c r="A126" s="32">
        <f>A120-A119</f>
        <v>19.950000000000003</v>
      </c>
      <c r="B126" s="17">
        <f>B119</f>
        <v>10.0584</v>
      </c>
      <c r="C126" s="19" t="s">
        <v>270</v>
      </c>
      <c r="D126" s="19" t="s">
        <v>246</v>
      </c>
    </row>
    <row r="127" spans="1:4" ht="12.75">
      <c r="A127" s="32">
        <f>A126</f>
        <v>19.950000000000003</v>
      </c>
      <c r="B127" s="48">
        <f>B126</f>
        <v>10.0584</v>
      </c>
      <c r="C127" s="19" t="s">
        <v>270</v>
      </c>
      <c r="D127" s="19" t="s">
        <v>241</v>
      </c>
    </row>
    <row r="128" spans="1:4" ht="12.75">
      <c r="A128" s="32">
        <f>A120-A117</f>
        <v>100.56</v>
      </c>
      <c r="B128" s="17">
        <f>B117</f>
        <v>11.5824</v>
      </c>
      <c r="C128" s="19" t="s">
        <v>245</v>
      </c>
      <c r="D128" s="19" t="s">
        <v>246</v>
      </c>
    </row>
    <row r="129" ht="12.75">
      <c r="C129" s="19"/>
    </row>
    <row r="130" ht="12.75">
      <c r="F130" s="36"/>
    </row>
    <row r="131" spans="1:6" ht="12.75">
      <c r="A131" s="3" t="s">
        <v>76</v>
      </c>
      <c r="C131" s="35" t="s">
        <v>221</v>
      </c>
      <c r="E131" s="36"/>
      <c r="F131" s="36"/>
    </row>
    <row r="132" spans="1:3" ht="12.75">
      <c r="A132" s="36" t="s">
        <v>2</v>
      </c>
      <c r="B132" s="36" t="s">
        <v>222</v>
      </c>
      <c r="C132" s="35" t="s">
        <v>223</v>
      </c>
    </row>
    <row r="133" spans="3:6" ht="12.75">
      <c r="C133" s="35" t="s">
        <v>266</v>
      </c>
      <c r="E133" s="38"/>
      <c r="F133" s="38"/>
    </row>
    <row r="134" spans="1:5" ht="12.75">
      <c r="A134" s="18">
        <v>0</v>
      </c>
      <c r="B134" s="18">
        <v>0</v>
      </c>
      <c r="C134" t="s">
        <v>225</v>
      </c>
      <c r="D134" t="s">
        <v>241</v>
      </c>
      <c r="E134" t="s">
        <v>226</v>
      </c>
    </row>
    <row r="135" spans="1:5" ht="12.75">
      <c r="A135" s="18">
        <v>2.73</v>
      </c>
      <c r="B135" s="18">
        <v>0</v>
      </c>
      <c r="C135" t="s">
        <v>227</v>
      </c>
      <c r="E135" s="39"/>
    </row>
    <row r="136" spans="1:5" ht="12.75">
      <c r="A136" s="18">
        <v>31.83</v>
      </c>
      <c r="B136" s="18">
        <f>0.3048*2885</f>
        <v>879.3480000000001</v>
      </c>
      <c r="C136" t="s">
        <v>228</v>
      </c>
      <c r="E136" s="40"/>
    </row>
    <row r="137" spans="1:5" ht="12.75">
      <c r="A137" s="18">
        <v>52.13</v>
      </c>
      <c r="B137" s="18">
        <f>0.3048*2916</f>
        <v>888.7968000000001</v>
      </c>
      <c r="C137" t="s">
        <v>229</v>
      </c>
      <c r="E137" s="40"/>
    </row>
    <row r="138" spans="1:5" ht="12.75">
      <c r="A138" s="18">
        <v>64.33</v>
      </c>
      <c r="B138" s="18">
        <f>0.3048*2158</f>
        <v>657.7584</v>
      </c>
      <c r="C138" t="s">
        <v>230</v>
      </c>
      <c r="E138" s="37"/>
    </row>
    <row r="139" spans="1:5" ht="12.75">
      <c r="A139" s="18">
        <v>107.63</v>
      </c>
      <c r="B139" s="18">
        <f>0.3048*2164</f>
        <v>659.5872</v>
      </c>
      <c r="C139" t="s">
        <v>116</v>
      </c>
      <c r="E139" s="40"/>
    </row>
    <row r="140" spans="1:5" ht="12.75">
      <c r="A140" s="18">
        <v>176.83</v>
      </c>
      <c r="B140" s="18">
        <f>0.3048*2079</f>
        <v>633.6792</v>
      </c>
      <c r="C140" t="s">
        <v>231</v>
      </c>
      <c r="D140" t="s">
        <v>246</v>
      </c>
      <c r="E140" s="40"/>
    </row>
    <row r="141" ht="12.75">
      <c r="C141" t="s">
        <v>232</v>
      </c>
    </row>
    <row r="142" ht="12.75">
      <c r="C142" t="s">
        <v>233</v>
      </c>
    </row>
    <row r="143" ht="12.75">
      <c r="C143" t="s">
        <v>234</v>
      </c>
    </row>
    <row r="144" ht="12.75">
      <c r="C144" t="s">
        <v>235</v>
      </c>
    </row>
    <row r="147" spans="3:5" ht="12.75">
      <c r="C147" s="35" t="s">
        <v>221</v>
      </c>
      <c r="E147" s="36"/>
    </row>
    <row r="148" spans="3:5" ht="12.75">
      <c r="C148" s="35"/>
      <c r="E148" s="36"/>
    </row>
    <row r="149" spans="1:3" ht="12.75">
      <c r="A149" s="36" t="s">
        <v>2</v>
      </c>
      <c r="B149" s="36" t="s">
        <v>222</v>
      </c>
      <c r="C149" s="35" t="s">
        <v>237</v>
      </c>
    </row>
    <row r="150" spans="3:5" ht="12.75">
      <c r="C150" s="35" t="s">
        <v>266</v>
      </c>
      <c r="E150" s="38"/>
    </row>
    <row r="151" spans="1:5" ht="12.75">
      <c r="A151" s="18">
        <f>A140-A140</f>
        <v>0</v>
      </c>
      <c r="B151" s="18">
        <f>0.3048*2079</f>
        <v>633.6792</v>
      </c>
      <c r="C151" t="s">
        <v>231</v>
      </c>
      <c r="D151" t="s">
        <v>241</v>
      </c>
      <c r="E151" t="s">
        <v>238</v>
      </c>
    </row>
    <row r="152" spans="1:5" ht="12.75">
      <c r="A152" s="34">
        <f>A140-A139</f>
        <v>69.20000000000002</v>
      </c>
      <c r="B152" s="18">
        <f>0.3048*2164</f>
        <v>659.5872</v>
      </c>
      <c r="C152" t="s">
        <v>116</v>
      </c>
      <c r="E152" s="40"/>
    </row>
    <row r="153" spans="1:5" ht="12.75">
      <c r="A153" s="34">
        <f>A140-A138</f>
        <v>112.50000000000001</v>
      </c>
      <c r="B153" s="18">
        <f>0.3048*2158</f>
        <v>657.7584</v>
      </c>
      <c r="C153" t="s">
        <v>230</v>
      </c>
      <c r="E153" s="40"/>
    </row>
    <row r="154" spans="1:5" ht="12.75">
      <c r="A154" s="34">
        <f>A140-A137</f>
        <v>124.70000000000002</v>
      </c>
      <c r="B154" s="18">
        <f>0.3048*2916</f>
        <v>888.7968000000001</v>
      </c>
      <c r="C154" t="s">
        <v>229</v>
      </c>
      <c r="E154" s="40"/>
    </row>
    <row r="155" spans="1:5" ht="12.75">
      <c r="A155" s="34">
        <f>A140-A136</f>
        <v>145</v>
      </c>
      <c r="B155" s="18">
        <f>0.3048*2885</f>
        <v>879.3480000000001</v>
      </c>
      <c r="C155" t="s">
        <v>228</v>
      </c>
      <c r="E155" s="40"/>
    </row>
    <row r="156" spans="1:5" ht="12.75">
      <c r="A156" s="34">
        <f>A140-A135</f>
        <v>174.10000000000002</v>
      </c>
      <c r="B156" s="18">
        <v>0</v>
      </c>
      <c r="C156" t="s">
        <v>227</v>
      </c>
      <c r="D156" t="s">
        <v>246</v>
      </c>
      <c r="E156" s="39"/>
    </row>
    <row r="157" spans="1:5" ht="12.75">
      <c r="A157" s="34">
        <f>A140-A134</f>
        <v>176.83</v>
      </c>
      <c r="B157" s="18">
        <v>0</v>
      </c>
      <c r="C157" t="s">
        <v>225</v>
      </c>
      <c r="D157" t="s">
        <v>246</v>
      </c>
      <c r="E157" s="40"/>
    </row>
    <row r="158" spans="3:5" ht="12.75">
      <c r="C158" t="s">
        <v>239</v>
      </c>
      <c r="E158" s="12"/>
    </row>
    <row r="159" ht="12.75">
      <c r="C159" t="s">
        <v>233</v>
      </c>
    </row>
    <row r="160" ht="12.75">
      <c r="C160" t="s">
        <v>234</v>
      </c>
    </row>
    <row r="161" ht="12.75">
      <c r="C161"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19.xml><?xml version="1.0" encoding="utf-8"?>
<worksheet xmlns="http://schemas.openxmlformats.org/spreadsheetml/2006/main" xmlns:r="http://schemas.openxmlformats.org/officeDocument/2006/relationships">
  <dimension ref="A1:K170"/>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2.7109375" style="0" customWidth="1"/>
    <col min="5" max="16384" width="11.57421875" style="0" customWidth="1"/>
  </cols>
  <sheetData>
    <row r="1" spans="1:5" ht="12.75">
      <c r="A1" s="3">
        <v>1980</v>
      </c>
      <c r="C1" s="3" t="s">
        <v>34</v>
      </c>
      <c r="E1" s="41" t="s">
        <v>345</v>
      </c>
    </row>
    <row r="2" spans="1:5" ht="12.75">
      <c r="A2" s="50" t="s">
        <v>2</v>
      </c>
      <c r="B2" s="36" t="s">
        <v>222</v>
      </c>
      <c r="C2" s="42" t="s">
        <v>223</v>
      </c>
      <c r="D2" s="19"/>
      <c r="E2" s="41" t="s">
        <v>57</v>
      </c>
    </row>
    <row r="3" spans="1:5" ht="12.75">
      <c r="A3" s="16"/>
      <c r="C3" s="42" t="s">
        <v>384</v>
      </c>
      <c r="D3" s="19"/>
      <c r="E3">
        <v>6</v>
      </c>
    </row>
    <row r="4" spans="1:5" ht="12.75">
      <c r="A4" s="16"/>
      <c r="C4" s="19"/>
      <c r="D4" s="19"/>
      <c r="E4" s="43" t="s">
        <v>15</v>
      </c>
    </row>
    <row r="5" spans="1:5" ht="12.75">
      <c r="A5">
        <v>0</v>
      </c>
      <c r="B5" s="17">
        <f>0.3048*38</f>
        <v>11.5824</v>
      </c>
      <c r="C5" s="19" t="s">
        <v>245</v>
      </c>
      <c r="D5" s="19" t="s">
        <v>241</v>
      </c>
      <c r="E5" s="39">
        <v>0.3958333333333333</v>
      </c>
    </row>
    <row r="6" spans="1:5" ht="12.75">
      <c r="A6">
        <v>4</v>
      </c>
      <c r="B6" s="17">
        <f>0.3048*40</f>
        <v>12.192</v>
      </c>
      <c r="C6" s="19" t="s">
        <v>292</v>
      </c>
      <c r="D6" s="47" t="s">
        <v>286</v>
      </c>
      <c r="E6" s="36" t="s">
        <v>286</v>
      </c>
    </row>
    <row r="7" spans="1:5" ht="12.75">
      <c r="A7">
        <v>35</v>
      </c>
      <c r="B7" s="17">
        <f>0.3048*92</f>
        <v>28.041600000000003</v>
      </c>
      <c r="C7" s="19" t="s">
        <v>295</v>
      </c>
      <c r="D7" s="47" t="s">
        <v>286</v>
      </c>
      <c r="E7" s="39">
        <v>0.42916666666666664</v>
      </c>
    </row>
    <row r="8" spans="1:5" ht="12.75">
      <c r="A8">
        <v>43</v>
      </c>
      <c r="B8" s="17">
        <f>0.3048*50</f>
        <v>15.24</v>
      </c>
      <c r="C8" s="19" t="s">
        <v>296</v>
      </c>
      <c r="D8" s="47" t="s">
        <v>286</v>
      </c>
      <c r="E8" s="39">
        <v>0.43472222222222223</v>
      </c>
    </row>
    <row r="9" spans="1:5" ht="12.75">
      <c r="A9">
        <v>59</v>
      </c>
      <c r="B9" s="17">
        <f>0.3048*36</f>
        <v>10.972800000000001</v>
      </c>
      <c r="C9" s="19" t="s">
        <v>247</v>
      </c>
      <c r="D9" s="47" t="s">
        <v>286</v>
      </c>
      <c r="E9" s="39">
        <v>0.4444444444444444</v>
      </c>
    </row>
    <row r="10" spans="1:5" ht="12.75">
      <c r="A10">
        <v>73</v>
      </c>
      <c r="B10" s="17">
        <f>0.3048*339</f>
        <v>103.3272</v>
      </c>
      <c r="C10" s="19" t="s">
        <v>248</v>
      </c>
      <c r="D10" s="47"/>
      <c r="E10" s="39">
        <v>0.4583333333333333</v>
      </c>
    </row>
    <row r="11" spans="1:11" ht="12.75">
      <c r="A11">
        <v>83</v>
      </c>
      <c r="C11" s="12" t="s">
        <v>385</v>
      </c>
      <c r="D11">
        <v>26</v>
      </c>
      <c r="E11" s="36" t="s">
        <v>361</v>
      </c>
      <c r="K11" s="36"/>
    </row>
    <row r="12" spans="1:11" ht="12.75">
      <c r="A12">
        <v>98</v>
      </c>
      <c r="B12" s="17">
        <f>0.3048*246</f>
        <v>74.9808</v>
      </c>
      <c r="C12" s="12" t="s">
        <v>298</v>
      </c>
      <c r="D12" s="47" t="s">
        <v>286</v>
      </c>
      <c r="E12" s="39">
        <v>0.4736111111111111</v>
      </c>
      <c r="K12" s="36"/>
    </row>
    <row r="13" spans="1:11" ht="12.75">
      <c r="A13">
        <v>115</v>
      </c>
      <c r="B13" s="17">
        <f>0.3048*232</f>
        <v>70.7136</v>
      </c>
      <c r="C13" s="12" t="s">
        <v>300</v>
      </c>
      <c r="D13" s="47" t="s">
        <v>286</v>
      </c>
      <c r="E13" s="39">
        <v>0.4840277777777778</v>
      </c>
      <c r="K13" s="36"/>
    </row>
    <row r="14" spans="1:11" ht="12.75">
      <c r="A14">
        <v>123</v>
      </c>
      <c r="B14" s="17">
        <f>0.3048*175</f>
        <v>53.34</v>
      </c>
      <c r="C14" s="12" t="s">
        <v>301</v>
      </c>
      <c r="D14">
        <v>26</v>
      </c>
      <c r="E14" s="36" t="s">
        <v>361</v>
      </c>
      <c r="K14" s="36"/>
    </row>
    <row r="15" spans="1:11" ht="12.75">
      <c r="A15">
        <v>128</v>
      </c>
      <c r="B15" s="17">
        <f>0.3048*236</f>
        <v>71.9328</v>
      </c>
      <c r="C15" s="12" t="s">
        <v>302</v>
      </c>
      <c r="D15" s="47" t="s">
        <v>286</v>
      </c>
      <c r="E15" s="39">
        <v>0.49166666666666664</v>
      </c>
      <c r="K15" s="36"/>
    </row>
    <row r="16" spans="1:11" ht="12.75">
      <c r="A16">
        <v>142</v>
      </c>
      <c r="B16" s="17">
        <f>0.3048*246</f>
        <v>74.9808</v>
      </c>
      <c r="C16" s="12" t="s">
        <v>303</v>
      </c>
      <c r="D16" s="47" t="s">
        <v>286</v>
      </c>
      <c r="E16" s="39">
        <v>0.49930555555555556</v>
      </c>
      <c r="K16" s="36"/>
    </row>
    <row r="17" spans="1:11" ht="12.75">
      <c r="A17">
        <v>153</v>
      </c>
      <c r="B17" s="17">
        <f>0.3048*282</f>
        <v>85.95360000000001</v>
      </c>
      <c r="C17" s="12" t="s">
        <v>305</v>
      </c>
      <c r="D17" s="47" t="s">
        <v>286</v>
      </c>
      <c r="E17" s="39">
        <v>0.50625</v>
      </c>
      <c r="K17" s="36"/>
    </row>
    <row r="18" spans="1:11" ht="12.75">
      <c r="A18">
        <v>163</v>
      </c>
      <c r="B18" s="17">
        <f>0.3048*328</f>
        <v>99.9744</v>
      </c>
      <c r="C18" s="12" t="s">
        <v>307</v>
      </c>
      <c r="D18" s="47" t="s">
        <v>286</v>
      </c>
      <c r="E18" s="39">
        <v>0.5125</v>
      </c>
      <c r="K18" s="36"/>
    </row>
    <row r="19" spans="1:11" ht="12.75">
      <c r="A19">
        <v>172</v>
      </c>
      <c r="B19" s="17">
        <f>0.3048*310</f>
        <v>94.488</v>
      </c>
      <c r="C19" s="12" t="s">
        <v>308</v>
      </c>
      <c r="D19">
        <v>26</v>
      </c>
      <c r="E19" s="36" t="s">
        <v>361</v>
      </c>
      <c r="K19" s="36"/>
    </row>
    <row r="20" spans="1:11" ht="12.75">
      <c r="A20">
        <v>181</v>
      </c>
      <c r="B20" s="17">
        <f>0.3048*354</f>
        <v>107.89920000000001</v>
      </c>
      <c r="C20" s="19" t="s">
        <v>249</v>
      </c>
      <c r="D20" s="19"/>
      <c r="E20" s="39">
        <v>0.5236111111111111</v>
      </c>
      <c r="K20" s="36"/>
    </row>
    <row r="21" spans="1:11" ht="12.75">
      <c r="A21">
        <v>189</v>
      </c>
      <c r="C21" s="12" t="s">
        <v>386</v>
      </c>
      <c r="D21">
        <v>26</v>
      </c>
      <c r="E21" s="36" t="s">
        <v>361</v>
      </c>
      <c r="K21" s="36"/>
    </row>
    <row r="22" spans="1:11" ht="12.75">
      <c r="A22">
        <v>192</v>
      </c>
      <c r="C22" s="12" t="s">
        <v>363</v>
      </c>
      <c r="D22">
        <v>26</v>
      </c>
      <c r="E22" s="36" t="s">
        <v>361</v>
      </c>
      <c r="K22" s="36"/>
    </row>
    <row r="23" spans="1:5" ht="12.75">
      <c r="A23">
        <v>196</v>
      </c>
      <c r="B23" s="17">
        <f>0.3048*461</f>
        <v>140.5128</v>
      </c>
      <c r="C23" s="19" t="s">
        <v>309</v>
      </c>
      <c r="D23" s="47" t="s">
        <v>286</v>
      </c>
      <c r="E23" s="39">
        <v>0.5333333333333333</v>
      </c>
    </row>
    <row r="24" spans="1:5" ht="12.75">
      <c r="A24">
        <v>200</v>
      </c>
      <c r="C24" s="12" t="s">
        <v>364</v>
      </c>
      <c r="D24">
        <v>26</v>
      </c>
      <c r="E24" s="36" t="s">
        <v>361</v>
      </c>
    </row>
    <row r="25" spans="1:5" ht="12.75">
      <c r="A25">
        <v>201</v>
      </c>
      <c r="C25" s="12" t="s">
        <v>365</v>
      </c>
      <c r="D25">
        <v>26</v>
      </c>
      <c r="E25" s="36" t="s">
        <v>361</v>
      </c>
    </row>
    <row r="26" spans="1:5" ht="12.75">
      <c r="A26">
        <v>205</v>
      </c>
      <c r="C26" s="12" t="s">
        <v>387</v>
      </c>
      <c r="D26">
        <v>26</v>
      </c>
      <c r="E26" s="36" t="s">
        <v>361</v>
      </c>
    </row>
    <row r="27" spans="1:5" ht="12.75">
      <c r="A27">
        <v>210</v>
      </c>
      <c r="C27" s="12" t="s">
        <v>367</v>
      </c>
      <c r="D27">
        <v>26</v>
      </c>
      <c r="E27" s="36" t="s">
        <v>361</v>
      </c>
    </row>
    <row r="28" spans="1:5" ht="12.75">
      <c r="A28">
        <v>216</v>
      </c>
      <c r="B28" s="17">
        <f>0.3048*546</f>
        <v>166.4208</v>
      </c>
      <c r="C28" s="19" t="s">
        <v>250</v>
      </c>
      <c r="D28" s="47" t="s">
        <v>286</v>
      </c>
      <c r="E28" s="39">
        <v>0.5458333333333333</v>
      </c>
    </row>
    <row r="29" spans="1:5" ht="12.75">
      <c r="A29">
        <v>230</v>
      </c>
      <c r="B29" s="17"/>
      <c r="C29" s="19" t="s">
        <v>388</v>
      </c>
      <c r="D29">
        <v>26</v>
      </c>
      <c r="E29" s="36" t="s">
        <v>361</v>
      </c>
    </row>
    <row r="30" spans="1:5" ht="12.75">
      <c r="A30">
        <v>231</v>
      </c>
      <c r="B30" s="17">
        <f>0.3048*621</f>
        <v>189.2808</v>
      </c>
      <c r="C30" s="19" t="s">
        <v>310</v>
      </c>
      <c r="D30" s="47" t="s">
        <v>286</v>
      </c>
      <c r="E30" s="39">
        <v>0.5569444444444445</v>
      </c>
    </row>
    <row r="31" spans="1:5" ht="12.75">
      <c r="A31">
        <v>240</v>
      </c>
      <c r="B31" s="17">
        <f>0.3048*731</f>
        <v>222.80880000000002</v>
      </c>
      <c r="C31" s="19" t="s">
        <v>311</v>
      </c>
      <c r="D31" s="47" t="s">
        <v>286</v>
      </c>
      <c r="E31" s="39">
        <v>0.5638888888888889</v>
      </c>
    </row>
    <row r="32" spans="1:5" ht="12.75">
      <c r="A32">
        <v>244</v>
      </c>
      <c r="C32" s="12" t="s">
        <v>368</v>
      </c>
      <c r="D32">
        <v>26</v>
      </c>
      <c r="E32" s="36" t="s">
        <v>361</v>
      </c>
    </row>
    <row r="33" spans="1:5" ht="12.75">
      <c r="A33">
        <v>248</v>
      </c>
      <c r="B33" s="17">
        <f>0.3048*879</f>
        <v>267.9192</v>
      </c>
      <c r="C33" s="19" t="s">
        <v>312</v>
      </c>
      <c r="D33" s="47" t="s">
        <v>286</v>
      </c>
      <c r="E33" s="39">
        <v>0.5701388888888889</v>
      </c>
    </row>
    <row r="34" spans="1:5" ht="12.75">
      <c r="A34">
        <v>249</v>
      </c>
      <c r="C34" s="12" t="s">
        <v>369</v>
      </c>
      <c r="D34">
        <v>26</v>
      </c>
      <c r="E34" s="36" t="s">
        <v>361</v>
      </c>
    </row>
    <row r="35" spans="1:5" ht="12.75">
      <c r="A35">
        <v>251</v>
      </c>
      <c r="C35" s="12" t="s">
        <v>370</v>
      </c>
      <c r="D35">
        <v>26</v>
      </c>
      <c r="E35" s="36" t="s">
        <v>361</v>
      </c>
    </row>
    <row r="36" spans="1:5" ht="12.75">
      <c r="A36">
        <v>257</v>
      </c>
      <c r="B36" s="17">
        <f>0.3048*1280</f>
        <v>390.144</v>
      </c>
      <c r="C36" s="19" t="s">
        <v>313</v>
      </c>
      <c r="D36" s="47" t="s">
        <v>286</v>
      </c>
      <c r="E36" s="39">
        <v>0.5784722222222223</v>
      </c>
    </row>
    <row r="37" spans="1:5" ht="12.75">
      <c r="A37">
        <v>259</v>
      </c>
      <c r="C37" s="12" t="s">
        <v>371</v>
      </c>
      <c r="D37">
        <v>26</v>
      </c>
      <c r="E37" s="36" t="s">
        <v>361</v>
      </c>
    </row>
    <row r="38" spans="1:5" ht="12.75">
      <c r="A38">
        <v>269</v>
      </c>
      <c r="B38" s="17">
        <f>0.3048*1688</f>
        <v>514.5024000000001</v>
      </c>
      <c r="C38" s="19" t="s">
        <v>252</v>
      </c>
      <c r="D38" s="47" t="s">
        <v>286</v>
      </c>
      <c r="E38" s="39">
        <v>0.5888888888888889</v>
      </c>
    </row>
    <row r="39" spans="1:5" ht="12.75">
      <c r="A39">
        <v>281</v>
      </c>
      <c r="B39" s="17">
        <f>0.3048*1456</f>
        <v>443.78880000000004</v>
      </c>
      <c r="C39" s="12" t="s">
        <v>314</v>
      </c>
      <c r="D39" s="47" t="s">
        <v>286</v>
      </c>
      <c r="E39" s="39">
        <v>0.6020833333333333</v>
      </c>
    </row>
    <row r="40" spans="1:5" ht="12.75">
      <c r="A40">
        <v>294</v>
      </c>
      <c r="B40" s="17">
        <f>0.3048*1954</f>
        <v>595.5792</v>
      </c>
      <c r="C40" s="12" t="s">
        <v>315</v>
      </c>
      <c r="D40" s="47" t="s">
        <v>286</v>
      </c>
      <c r="E40" s="39">
        <v>0.6145833333333334</v>
      </c>
    </row>
    <row r="41" spans="1:5" ht="12.75">
      <c r="A41">
        <v>306</v>
      </c>
      <c r="B41" s="17">
        <f>0.3048*2127</f>
        <v>648.3096</v>
      </c>
      <c r="C41" s="12" t="s">
        <v>253</v>
      </c>
      <c r="D41" s="47" t="s">
        <v>286</v>
      </c>
      <c r="E41" s="39">
        <v>0.6215277777777778</v>
      </c>
    </row>
    <row r="42" spans="1:5" ht="12.75">
      <c r="A42">
        <v>319</v>
      </c>
      <c r="B42" s="17">
        <f>0.3048*2337</f>
        <v>712.3176000000001</v>
      </c>
      <c r="C42" s="12" t="s">
        <v>125</v>
      </c>
      <c r="D42">
        <v>26</v>
      </c>
      <c r="E42" s="39">
        <v>0.6298611111111111</v>
      </c>
    </row>
    <row r="43" spans="1:5" ht="12.75">
      <c r="A43">
        <v>330</v>
      </c>
      <c r="B43" s="17">
        <f>0.3048*2212</f>
        <v>674.2176000000001</v>
      </c>
      <c r="C43" s="12" t="s">
        <v>254</v>
      </c>
      <c r="D43" s="47" t="s">
        <v>286</v>
      </c>
      <c r="E43" s="39">
        <v>0.6375</v>
      </c>
    </row>
    <row r="44" spans="1:5" ht="12.75">
      <c r="A44">
        <v>342</v>
      </c>
      <c r="B44" s="17">
        <f>0.3048*2056</f>
        <v>626.6688</v>
      </c>
      <c r="C44" s="19" t="s">
        <v>316</v>
      </c>
      <c r="D44">
        <v>26</v>
      </c>
      <c r="E44" s="39">
        <v>0.6472222222222223</v>
      </c>
    </row>
    <row r="45" spans="1:5" ht="12.75">
      <c r="A45">
        <v>354</v>
      </c>
      <c r="B45" s="17">
        <f>0.3048*1957</f>
        <v>596.4936</v>
      </c>
      <c r="C45" s="12" t="s">
        <v>317</v>
      </c>
      <c r="D45" s="47" t="s">
        <v>286</v>
      </c>
      <c r="E45" s="39">
        <v>0.6576388888888889</v>
      </c>
    </row>
    <row r="46" spans="1:5" ht="12.75">
      <c r="A46">
        <v>367</v>
      </c>
      <c r="C46" s="12" t="s">
        <v>372</v>
      </c>
      <c r="D46">
        <v>26</v>
      </c>
      <c r="E46" s="36" t="s">
        <v>361</v>
      </c>
    </row>
    <row r="47" spans="1:5" ht="12.75">
      <c r="A47">
        <v>376</v>
      </c>
      <c r="B47" s="17">
        <f>0.3048*1732</f>
        <v>527.9136</v>
      </c>
      <c r="C47" s="39" t="s">
        <v>255</v>
      </c>
      <c r="D47" s="47"/>
      <c r="E47" s="39">
        <v>0.6847222222222222</v>
      </c>
    </row>
    <row r="48" spans="1:5" ht="12.75">
      <c r="A48">
        <v>388</v>
      </c>
      <c r="B48" s="17">
        <f>0.3048*1432</f>
        <v>436.47360000000003</v>
      </c>
      <c r="C48" s="12" t="s">
        <v>319</v>
      </c>
      <c r="D48" s="47" t="s">
        <v>286</v>
      </c>
      <c r="E48" s="39">
        <v>0.7013888888888888</v>
      </c>
    </row>
    <row r="49" spans="1:5" ht="12.75">
      <c r="A49">
        <v>393</v>
      </c>
      <c r="B49" s="17">
        <f>0.3048*1368</f>
        <v>416.9664</v>
      </c>
      <c r="C49" s="19" t="s">
        <v>256</v>
      </c>
      <c r="D49" s="19" t="s">
        <v>246</v>
      </c>
      <c r="E49" s="39">
        <v>0.7069444444444445</v>
      </c>
    </row>
    <row r="50" spans="1:5" ht="12.75">
      <c r="A50">
        <v>393</v>
      </c>
      <c r="B50" s="17">
        <f>0.3048*1368</f>
        <v>416.9664</v>
      </c>
      <c r="C50" s="19" t="s">
        <v>256</v>
      </c>
      <c r="D50" s="19" t="s">
        <v>241</v>
      </c>
      <c r="E50" s="39">
        <v>0.7090277777777778</v>
      </c>
    </row>
    <row r="51" spans="1:5" ht="12.75">
      <c r="A51">
        <v>413</v>
      </c>
      <c r="B51" s="17">
        <f>0.3048*1006</f>
        <v>306.6288</v>
      </c>
      <c r="C51" s="12" t="s">
        <v>321</v>
      </c>
      <c r="D51">
        <v>26</v>
      </c>
      <c r="E51" s="39">
        <v>0.7229166666666667</v>
      </c>
    </row>
    <row r="52" spans="1:5" ht="12.75">
      <c r="A52">
        <v>429</v>
      </c>
      <c r="B52" s="17">
        <f>0.3048*810</f>
        <v>246.888</v>
      </c>
      <c r="C52" s="12" t="s">
        <v>322</v>
      </c>
      <c r="D52">
        <v>26</v>
      </c>
      <c r="E52" s="39">
        <v>0.7326388888888888</v>
      </c>
    </row>
    <row r="53" spans="1:5" ht="12.75">
      <c r="A53">
        <v>448</v>
      </c>
      <c r="B53" s="17">
        <f>0.3048*537</f>
        <v>163.6776</v>
      </c>
      <c r="C53" s="12" t="s">
        <v>323</v>
      </c>
      <c r="D53" s="47" t="s">
        <v>286</v>
      </c>
      <c r="E53" s="39">
        <v>0.7430555555555556</v>
      </c>
    </row>
    <row r="54" spans="1:5" ht="12.75">
      <c r="A54">
        <v>479</v>
      </c>
      <c r="B54" s="17">
        <f>0.3048*362</f>
        <v>110.33760000000001</v>
      </c>
      <c r="C54" s="19" t="s">
        <v>257</v>
      </c>
      <c r="D54" s="47"/>
      <c r="E54" s="39">
        <v>0.7652777777777777</v>
      </c>
    </row>
    <row r="55" spans="1:5" ht="12.75">
      <c r="A55">
        <v>511</v>
      </c>
      <c r="B55" s="17">
        <f>0.3048*368</f>
        <v>112.16640000000001</v>
      </c>
      <c r="C55" s="19" t="s">
        <v>327</v>
      </c>
      <c r="D55" s="47" t="s">
        <v>286</v>
      </c>
      <c r="E55" s="39">
        <v>0.7875</v>
      </c>
    </row>
    <row r="56" spans="1:5" ht="12.75">
      <c r="A56">
        <v>523</v>
      </c>
      <c r="B56" s="17">
        <f>0.3048*406</f>
        <v>123.7488</v>
      </c>
      <c r="C56" s="19" t="s">
        <v>328</v>
      </c>
      <c r="D56" s="47" t="s">
        <v>286</v>
      </c>
      <c r="E56" s="39">
        <v>0.7951388888888888</v>
      </c>
    </row>
    <row r="57" spans="1:5" ht="12.75">
      <c r="A57">
        <v>541</v>
      </c>
      <c r="B57" s="17">
        <f>0.3048*465</f>
        <v>141.732</v>
      </c>
      <c r="C57" s="19" t="s">
        <v>329</v>
      </c>
      <c r="D57" s="47" t="s">
        <v>286</v>
      </c>
      <c r="E57" s="39">
        <v>0.80625</v>
      </c>
    </row>
    <row r="58" spans="1:5" ht="12.75">
      <c r="A58">
        <v>573</v>
      </c>
      <c r="B58" s="17">
        <f>0.3048*448</f>
        <v>136.5504</v>
      </c>
      <c r="C58" s="19" t="s">
        <v>258</v>
      </c>
      <c r="D58" s="19" t="s">
        <v>246</v>
      </c>
      <c r="E58" s="39">
        <v>0.8333333333333334</v>
      </c>
    </row>
    <row r="59" spans="1:3" ht="12.75">
      <c r="A59" s="16"/>
      <c r="C59" s="19" t="s">
        <v>290</v>
      </c>
    </row>
    <row r="60" ht="12.75">
      <c r="C60" t="s">
        <v>374</v>
      </c>
    </row>
    <row r="61" ht="12.75">
      <c r="C61" s="19" t="s">
        <v>375</v>
      </c>
    </row>
    <row r="62" ht="12.75">
      <c r="E62" s="41" t="s">
        <v>345</v>
      </c>
    </row>
    <row r="63" spans="1:5" ht="12.75">
      <c r="A63" s="50" t="s">
        <v>2</v>
      </c>
      <c r="B63" s="36" t="s">
        <v>222</v>
      </c>
      <c r="C63" s="42" t="s">
        <v>237</v>
      </c>
      <c r="D63" s="19"/>
      <c r="E63" s="41" t="s">
        <v>57</v>
      </c>
    </row>
    <row r="64" spans="1:5" ht="12.75">
      <c r="A64" s="16"/>
      <c r="C64" s="42" t="s">
        <v>384</v>
      </c>
      <c r="D64" s="19"/>
      <c r="E64">
        <v>5</v>
      </c>
    </row>
    <row r="65" spans="1:5" ht="12.75">
      <c r="A65" s="16"/>
      <c r="C65" s="19"/>
      <c r="D65" s="19"/>
      <c r="E65" s="43" t="s">
        <v>15</v>
      </c>
    </row>
    <row r="66" spans="1:5" ht="12.75">
      <c r="A66" s="17">
        <f>A58-A58</f>
        <v>0</v>
      </c>
      <c r="B66" s="17">
        <f>B58-B58</f>
        <v>0</v>
      </c>
      <c r="C66" s="19" t="s">
        <v>258</v>
      </c>
      <c r="D66" s="19" t="s">
        <v>241</v>
      </c>
      <c r="E66" s="39">
        <v>0.3958333333333333</v>
      </c>
    </row>
    <row r="67" spans="1:5" ht="12.75">
      <c r="A67" s="17">
        <f>A58-A57</f>
        <v>32</v>
      </c>
      <c r="B67" s="17">
        <f>B57</f>
        <v>141.732</v>
      </c>
      <c r="C67" s="19" t="s">
        <v>329</v>
      </c>
      <c r="D67" s="47" t="s">
        <v>286</v>
      </c>
      <c r="E67" s="39">
        <v>0.4222222222222222</v>
      </c>
    </row>
    <row r="68" spans="1:5" ht="12.75">
      <c r="A68" s="17">
        <f>A58-A56</f>
        <v>50</v>
      </c>
      <c r="B68" s="17">
        <f>B56</f>
        <v>123.7488</v>
      </c>
      <c r="C68" s="19" t="s">
        <v>328</v>
      </c>
      <c r="D68" s="47" t="s">
        <v>286</v>
      </c>
      <c r="E68" s="39">
        <v>0.43333333333333335</v>
      </c>
    </row>
    <row r="69" spans="1:5" ht="12.75">
      <c r="A69" s="17">
        <f>A58-A55</f>
        <v>62</v>
      </c>
      <c r="B69" s="17">
        <f>B55</f>
        <v>112.16640000000001</v>
      </c>
      <c r="C69" s="19" t="s">
        <v>327</v>
      </c>
      <c r="D69" s="47" t="s">
        <v>286</v>
      </c>
      <c r="E69" s="39">
        <v>0.4409722222222222</v>
      </c>
    </row>
    <row r="70" spans="1:5" ht="12.75">
      <c r="A70" s="17">
        <f>A58-A54</f>
        <v>94</v>
      </c>
      <c r="B70" s="17">
        <f>B54</f>
        <v>110.33760000000001</v>
      </c>
      <c r="C70" s="19" t="s">
        <v>257</v>
      </c>
      <c r="D70" s="47"/>
      <c r="E70" s="39">
        <v>0.4638888888888889</v>
      </c>
    </row>
    <row r="71" spans="1:5" ht="12.75">
      <c r="A71" s="17">
        <f>A58-A53</f>
        <v>125</v>
      </c>
      <c r="B71" s="17">
        <f>B53</f>
        <v>163.6776</v>
      </c>
      <c r="C71" t="s">
        <v>323</v>
      </c>
      <c r="D71" s="47" t="s">
        <v>286</v>
      </c>
      <c r="E71" s="39">
        <v>0.4826388888888889</v>
      </c>
    </row>
    <row r="72" spans="1:5" ht="12.75">
      <c r="A72" s="17">
        <f>A58-A52</f>
        <v>144</v>
      </c>
      <c r="B72" s="17">
        <f>B52</f>
        <v>246.888</v>
      </c>
      <c r="C72" t="s">
        <v>322</v>
      </c>
      <c r="D72">
        <v>37</v>
      </c>
      <c r="E72" s="39">
        <v>0.4951388888888889</v>
      </c>
    </row>
    <row r="73" spans="1:5" ht="12.75">
      <c r="A73" s="17">
        <f>A58-A51</f>
        <v>160</v>
      </c>
      <c r="B73" s="17">
        <f>B51</f>
        <v>306.6288</v>
      </c>
      <c r="C73" t="s">
        <v>321</v>
      </c>
      <c r="D73">
        <v>37</v>
      </c>
      <c r="E73" s="39">
        <v>0.5041666666666667</v>
      </c>
    </row>
    <row r="74" spans="1:5" ht="12.75">
      <c r="A74" s="17">
        <f>A58-A50</f>
        <v>180</v>
      </c>
      <c r="B74" s="17">
        <f>B50</f>
        <v>416.9664</v>
      </c>
      <c r="C74" s="19" t="s">
        <v>256</v>
      </c>
      <c r="D74" s="19" t="s">
        <v>246</v>
      </c>
      <c r="E74" s="39">
        <v>0.5173611111111112</v>
      </c>
    </row>
    <row r="75" spans="1:5" ht="12.75">
      <c r="A75" s="17">
        <f>A58-A49</f>
        <v>180</v>
      </c>
      <c r="B75" s="17">
        <f>B49</f>
        <v>416.9664</v>
      </c>
      <c r="C75" s="19" t="s">
        <v>256</v>
      </c>
      <c r="D75" s="19" t="s">
        <v>241</v>
      </c>
      <c r="E75" s="39">
        <v>0.5180555555555556</v>
      </c>
    </row>
    <row r="76" spans="1:5" ht="12.75">
      <c r="A76" s="17">
        <f>A58-A48</f>
        <v>185</v>
      </c>
      <c r="B76" s="17">
        <f>B48</f>
        <v>436.47360000000003</v>
      </c>
      <c r="C76" t="s">
        <v>319</v>
      </c>
      <c r="D76" s="47" t="s">
        <v>286</v>
      </c>
      <c r="E76" s="39">
        <v>0.5243055555555556</v>
      </c>
    </row>
    <row r="77" spans="1:5" ht="12.75">
      <c r="A77" s="17">
        <f>A58-A47</f>
        <v>197</v>
      </c>
      <c r="B77" s="17">
        <f>B47</f>
        <v>527.9136</v>
      </c>
      <c r="C77" s="39" t="s">
        <v>255</v>
      </c>
      <c r="D77" s="47"/>
      <c r="E77" s="39">
        <v>0.5486111111111112</v>
      </c>
    </row>
    <row r="78" spans="1:5" ht="12.75">
      <c r="A78" s="18">
        <f>$A$58-A46</f>
        <v>206</v>
      </c>
      <c r="C78" s="17" t="str">
        <f>C46</f>
        <v>Milepost 342.7</v>
      </c>
      <c r="D78">
        <v>37</v>
      </c>
      <c r="E78" s="36" t="s">
        <v>376</v>
      </c>
    </row>
    <row r="79" spans="1:5" ht="12.75">
      <c r="A79" s="17">
        <f>A58-A45</f>
        <v>219</v>
      </c>
      <c r="B79" s="17">
        <f>B45</f>
        <v>596.4936</v>
      </c>
      <c r="C79" t="s">
        <v>317</v>
      </c>
      <c r="D79" s="47" t="s">
        <v>286</v>
      </c>
      <c r="E79" s="39">
        <v>0.56875</v>
      </c>
    </row>
    <row r="80" spans="1:5" ht="12.75">
      <c r="A80" s="17">
        <f>A58-A44</f>
        <v>231</v>
      </c>
      <c r="B80" s="17">
        <f>B44</f>
        <v>626.6688</v>
      </c>
      <c r="C80" s="19" t="s">
        <v>316</v>
      </c>
      <c r="D80">
        <v>37</v>
      </c>
      <c r="E80" s="39">
        <v>0.5791666666666667</v>
      </c>
    </row>
    <row r="81" spans="1:5" ht="12.75">
      <c r="A81" s="17">
        <f>A58-A43</f>
        <v>243</v>
      </c>
      <c r="B81" s="17">
        <f>B43</f>
        <v>674.2176000000001</v>
      </c>
      <c r="C81" t="s">
        <v>254</v>
      </c>
      <c r="D81" s="47" t="s">
        <v>286</v>
      </c>
      <c r="E81" s="39">
        <v>0.5895833333333333</v>
      </c>
    </row>
    <row r="82" spans="1:5" ht="12.75">
      <c r="A82" s="17">
        <f>A58-A42</f>
        <v>254</v>
      </c>
      <c r="B82" s="17">
        <f>B42</f>
        <v>712.3176000000001</v>
      </c>
      <c r="C82" t="s">
        <v>125</v>
      </c>
      <c r="D82">
        <v>37</v>
      </c>
      <c r="E82" s="39">
        <v>0.5972222222222222</v>
      </c>
    </row>
    <row r="83" spans="1:5" ht="12.75">
      <c r="A83" s="17">
        <f>A58-A41</f>
        <v>267</v>
      </c>
      <c r="B83" s="17">
        <f>B41</f>
        <v>648.3096</v>
      </c>
      <c r="C83" t="s">
        <v>253</v>
      </c>
      <c r="D83" s="47" t="s">
        <v>286</v>
      </c>
      <c r="E83" s="39">
        <v>0.6055555555555555</v>
      </c>
    </row>
    <row r="84" spans="1:5" ht="12.75">
      <c r="A84" s="17">
        <f>A58-A40</f>
        <v>279</v>
      </c>
      <c r="B84" s="17">
        <f>B40</f>
        <v>595.5792</v>
      </c>
      <c r="C84" t="s">
        <v>315</v>
      </c>
      <c r="D84" s="47" t="s">
        <v>286</v>
      </c>
      <c r="E84" s="39">
        <v>0.6145833333333334</v>
      </c>
    </row>
    <row r="85" spans="1:5" ht="12.75">
      <c r="A85" s="17">
        <f>A58-A39</f>
        <v>292</v>
      </c>
      <c r="B85" s="17">
        <f>B39</f>
        <v>443.78880000000004</v>
      </c>
      <c r="C85" t="s">
        <v>314</v>
      </c>
      <c r="D85" s="47" t="s">
        <v>286</v>
      </c>
      <c r="E85" s="39">
        <v>0.6243055555555556</v>
      </c>
    </row>
    <row r="86" spans="1:5" ht="12.75">
      <c r="A86" s="17">
        <f>A58-A38</f>
        <v>304</v>
      </c>
      <c r="B86" s="17">
        <f>B38</f>
        <v>514.5024000000001</v>
      </c>
      <c r="C86" s="19" t="s">
        <v>252</v>
      </c>
      <c r="D86" s="47" t="s">
        <v>286</v>
      </c>
      <c r="E86" s="39">
        <v>0.6375</v>
      </c>
    </row>
    <row r="87" spans="1:5" ht="12.75">
      <c r="A87" s="18">
        <f>$A$58-A37</f>
        <v>314</v>
      </c>
      <c r="C87" s="17" t="str">
        <f>C37</f>
        <v>Milepost 275.4</v>
      </c>
      <c r="D87">
        <v>37</v>
      </c>
      <c r="E87" s="36" t="s">
        <v>376</v>
      </c>
    </row>
    <row r="88" spans="1:5" ht="12.75">
      <c r="A88" s="17">
        <f>A58-A36</f>
        <v>316</v>
      </c>
      <c r="B88" s="17">
        <f>B36</f>
        <v>390.144</v>
      </c>
      <c r="C88" s="19" t="s">
        <v>313</v>
      </c>
      <c r="D88" s="47" t="s">
        <v>286</v>
      </c>
      <c r="E88" s="39">
        <v>0.6479166666666667</v>
      </c>
    </row>
    <row r="89" spans="1:5" ht="12.75">
      <c r="A89" s="18">
        <f>$A$58-A35</f>
        <v>322</v>
      </c>
      <c r="C89" s="17" t="str">
        <f>C35</f>
        <v>Milepost 270</v>
      </c>
      <c r="D89">
        <v>37</v>
      </c>
      <c r="E89" s="36" t="s">
        <v>376</v>
      </c>
    </row>
    <row r="90" spans="1:5" ht="12.75">
      <c r="A90" s="18">
        <f>$A$58-A34</f>
        <v>324</v>
      </c>
      <c r="C90" s="17" t="str">
        <f>C34</f>
        <v>Milepost 269</v>
      </c>
      <c r="D90">
        <v>37</v>
      </c>
      <c r="E90" s="36" t="s">
        <v>376</v>
      </c>
    </row>
    <row r="91" spans="1:5" ht="12.75">
      <c r="A91" s="18">
        <f>$A$58-A32</f>
        <v>329</v>
      </c>
      <c r="C91" s="17" t="str">
        <f>C32</f>
        <v>Milepost 266</v>
      </c>
      <c r="D91">
        <v>37</v>
      </c>
      <c r="E91" s="36" t="s">
        <v>376</v>
      </c>
    </row>
    <row r="92" spans="1:5" ht="12.75">
      <c r="A92" s="17">
        <f>A58-A33</f>
        <v>325</v>
      </c>
      <c r="B92" s="17">
        <f>B33</f>
        <v>267.9192</v>
      </c>
      <c r="C92" s="19" t="s">
        <v>312</v>
      </c>
      <c r="D92" s="47" t="s">
        <v>286</v>
      </c>
      <c r="E92" s="39">
        <v>0.65625</v>
      </c>
    </row>
    <row r="93" spans="1:5" ht="12.75">
      <c r="A93" s="17">
        <f>A58-A31</f>
        <v>333</v>
      </c>
      <c r="B93" s="17">
        <f>B31</f>
        <v>222.80880000000002</v>
      </c>
      <c r="C93" s="19" t="s">
        <v>311</v>
      </c>
      <c r="D93" s="47" t="s">
        <v>286</v>
      </c>
      <c r="E93" s="39">
        <v>0.6625</v>
      </c>
    </row>
    <row r="94" spans="1:5" ht="12.75">
      <c r="A94" s="17">
        <f>A58-A30</f>
        <v>342</v>
      </c>
      <c r="B94" s="17">
        <f>B30</f>
        <v>189.2808</v>
      </c>
      <c r="C94" s="19" t="s">
        <v>310</v>
      </c>
      <c r="D94" s="47" t="s">
        <v>286</v>
      </c>
      <c r="E94" s="39">
        <v>0.6694444444444444</v>
      </c>
    </row>
    <row r="95" spans="1:5" ht="12.75">
      <c r="A95" s="51">
        <f>A58-A29</f>
        <v>343</v>
      </c>
      <c r="B95" s="51"/>
      <c r="C95" s="17" t="str">
        <f>C29</f>
        <v>Milepost 257</v>
      </c>
      <c r="D95">
        <v>37</v>
      </c>
      <c r="E95" s="36" t="s">
        <v>376</v>
      </c>
    </row>
    <row r="96" spans="1:5" ht="12.75">
      <c r="A96" s="17">
        <f>A58-A28</f>
        <v>357</v>
      </c>
      <c r="B96" s="17">
        <f>B28</f>
        <v>166.4208</v>
      </c>
      <c r="C96" s="19" t="s">
        <v>250</v>
      </c>
      <c r="D96" s="47" t="s">
        <v>286</v>
      </c>
      <c r="E96" s="39">
        <v>0.6805555555555556</v>
      </c>
    </row>
    <row r="97" spans="1:5" ht="12.75">
      <c r="A97" s="18">
        <f>$A$58-A27</f>
        <v>363</v>
      </c>
      <c r="C97" s="12" t="str">
        <f>C27</f>
        <v>Milepost 244.6</v>
      </c>
      <c r="D97">
        <v>37</v>
      </c>
      <c r="E97" s="36" t="s">
        <v>376</v>
      </c>
    </row>
    <row r="98" spans="1:5" ht="12.75">
      <c r="A98" s="18">
        <f>$A$58-A26</f>
        <v>368</v>
      </c>
      <c r="C98" s="12" t="str">
        <f>C26</f>
        <v>Lane</v>
      </c>
      <c r="D98">
        <v>37</v>
      </c>
      <c r="E98" s="36" t="s">
        <v>376</v>
      </c>
    </row>
    <row r="99" spans="1:5" ht="12.75">
      <c r="A99" s="18">
        <f>$A$58-A25</f>
        <v>372</v>
      </c>
      <c r="C99" s="12" t="str">
        <f>C25</f>
        <v>Milepost 239.5</v>
      </c>
      <c r="D99">
        <v>37</v>
      </c>
      <c r="E99" s="36" t="s">
        <v>376</v>
      </c>
    </row>
    <row r="100" spans="1:5" ht="12.75">
      <c r="A100" s="18">
        <f>$A$58-A24</f>
        <v>373</v>
      </c>
      <c r="C100" s="12" t="str">
        <f>C24</f>
        <v>Milepost 238.4</v>
      </c>
      <c r="D100">
        <v>37</v>
      </c>
      <c r="E100" s="36" t="s">
        <v>376</v>
      </c>
    </row>
    <row r="101" spans="1:5" ht="12.75">
      <c r="A101" s="17">
        <f>A58-A23</f>
        <v>377</v>
      </c>
      <c r="B101" s="17">
        <f>B23</f>
        <v>140.5128</v>
      </c>
      <c r="C101" s="19" t="s">
        <v>309</v>
      </c>
      <c r="D101" s="47" t="s">
        <v>286</v>
      </c>
      <c r="E101" s="39">
        <v>0.6930555555555555</v>
      </c>
    </row>
    <row r="102" spans="1:5" ht="12.75">
      <c r="A102" s="18">
        <f>$A$58-A22</f>
        <v>381</v>
      </c>
      <c r="C102" s="12" t="str">
        <f>C22</f>
        <v>Milepost 233.5</v>
      </c>
      <c r="D102">
        <v>37</v>
      </c>
      <c r="E102" s="36" t="s">
        <v>376</v>
      </c>
    </row>
    <row r="103" spans="1:5" ht="12.75">
      <c r="A103" s="18">
        <f>$A$58-A21</f>
        <v>384</v>
      </c>
      <c r="C103" s="12" t="str">
        <f>C21</f>
        <v>Gravel Pit</v>
      </c>
      <c r="D103">
        <v>37</v>
      </c>
      <c r="E103" s="36" t="s">
        <v>376</v>
      </c>
    </row>
    <row r="104" spans="1:5" ht="12.75">
      <c r="A104" s="17">
        <f>A58-A20</f>
        <v>392</v>
      </c>
      <c r="B104" s="17">
        <f>B20</f>
        <v>107.89920000000001</v>
      </c>
      <c r="C104" s="19" t="s">
        <v>249</v>
      </c>
      <c r="D104" s="19"/>
      <c r="E104" s="39">
        <v>0.7027777777777777</v>
      </c>
    </row>
    <row r="105" spans="1:5" ht="12.75">
      <c r="A105" s="51">
        <f>A58-A19</f>
        <v>401</v>
      </c>
      <c r="B105" s="17">
        <f>B19</f>
        <v>94.488</v>
      </c>
      <c r="C105" s="19" t="s">
        <v>308</v>
      </c>
      <c r="D105">
        <v>37</v>
      </c>
      <c r="E105" s="36" t="s">
        <v>376</v>
      </c>
    </row>
    <row r="106" spans="1:5" ht="12.75">
      <c r="A106" s="17">
        <f>A58-A18</f>
        <v>410</v>
      </c>
      <c r="B106" s="17">
        <f>B18</f>
        <v>99.9744</v>
      </c>
      <c r="C106" s="12" t="s">
        <v>307</v>
      </c>
      <c r="D106" s="47" t="s">
        <v>286</v>
      </c>
      <c r="E106" s="39">
        <v>0.7131944444444445</v>
      </c>
    </row>
    <row r="107" spans="1:5" ht="12.75">
      <c r="A107" s="17">
        <f>A58-A17</f>
        <v>420</v>
      </c>
      <c r="B107" s="17">
        <f>B17</f>
        <v>85.95360000000001</v>
      </c>
      <c r="C107" s="12" t="s">
        <v>305</v>
      </c>
      <c r="D107" s="47" t="s">
        <v>286</v>
      </c>
      <c r="E107" s="39">
        <v>0.7194444444444444</v>
      </c>
    </row>
    <row r="108" spans="1:5" ht="12.75">
      <c r="A108" s="17">
        <f>A58-A16</f>
        <v>431</v>
      </c>
      <c r="B108" s="17">
        <f>B16</f>
        <v>74.9808</v>
      </c>
      <c r="C108" s="12" t="s">
        <v>303</v>
      </c>
      <c r="D108" s="47" t="s">
        <v>286</v>
      </c>
      <c r="E108" s="39">
        <v>0.7263888888888889</v>
      </c>
    </row>
    <row r="109" spans="1:5" ht="12.75">
      <c r="A109" s="17">
        <f>A58-A15</f>
        <v>445</v>
      </c>
      <c r="B109" s="17">
        <f>B15</f>
        <v>71.9328</v>
      </c>
      <c r="C109" s="12" t="s">
        <v>302</v>
      </c>
      <c r="D109" s="47" t="s">
        <v>286</v>
      </c>
      <c r="E109" s="39">
        <v>0.7347222222222223</v>
      </c>
    </row>
    <row r="110" spans="1:5" ht="12.75">
      <c r="A110" s="17">
        <f>A58-A14</f>
        <v>450</v>
      </c>
      <c r="B110" s="17">
        <f>B14</f>
        <v>53.34</v>
      </c>
      <c r="C110" s="12" t="s">
        <v>301</v>
      </c>
      <c r="D110">
        <v>37</v>
      </c>
      <c r="E110" s="36" t="s">
        <v>376</v>
      </c>
    </row>
    <row r="111" spans="1:5" ht="12.75">
      <c r="A111" s="17">
        <f>A58-A13</f>
        <v>458</v>
      </c>
      <c r="B111" s="17">
        <f>B13</f>
        <v>70.7136</v>
      </c>
      <c r="C111" s="12" t="s">
        <v>300</v>
      </c>
      <c r="D111" s="47" t="s">
        <v>286</v>
      </c>
      <c r="E111" s="39">
        <v>0.7423611111111111</v>
      </c>
    </row>
    <row r="112" spans="1:5" ht="12.75">
      <c r="A112" s="17">
        <f>A58-A12</f>
        <v>475</v>
      </c>
      <c r="B112" s="17">
        <f>B12</f>
        <v>74.9808</v>
      </c>
      <c r="C112" s="12" t="s">
        <v>298</v>
      </c>
      <c r="D112" s="47" t="s">
        <v>286</v>
      </c>
      <c r="E112" s="39">
        <v>0.7527777777777778</v>
      </c>
    </row>
    <row r="113" spans="1:5" ht="12.75">
      <c r="A113" s="17">
        <f>$A$58-A11</f>
        <v>490</v>
      </c>
      <c r="C113" s="12" t="str">
        <f>C11</f>
        <v>Rainbow Crossing</v>
      </c>
      <c r="D113">
        <v>37</v>
      </c>
      <c r="E113" s="36" t="s">
        <v>376</v>
      </c>
    </row>
    <row r="114" spans="1:5" ht="12.75">
      <c r="A114" s="17">
        <f>A58-A10</f>
        <v>500</v>
      </c>
      <c r="B114" s="17">
        <f>B10</f>
        <v>103.3272</v>
      </c>
      <c r="C114" s="19" t="s">
        <v>248</v>
      </c>
      <c r="D114" s="47"/>
      <c r="E114" s="39">
        <v>0.7680555555555556</v>
      </c>
    </row>
    <row r="115" spans="1:5" ht="12.75">
      <c r="A115" s="17">
        <f>A58-A9</f>
        <v>514</v>
      </c>
      <c r="B115" s="17">
        <f>B9</f>
        <v>10.972800000000001</v>
      </c>
      <c r="C115" s="19" t="s">
        <v>247</v>
      </c>
      <c r="D115" s="47" t="s">
        <v>286</v>
      </c>
      <c r="E115" s="39">
        <v>0.7819444444444444</v>
      </c>
    </row>
    <row r="116" spans="1:5" ht="12.75">
      <c r="A116" s="17">
        <f>A58-A8</f>
        <v>530</v>
      </c>
      <c r="B116" s="17">
        <f>B8</f>
        <v>15.24</v>
      </c>
      <c r="C116" s="19" t="s">
        <v>296</v>
      </c>
      <c r="D116" s="47" t="s">
        <v>286</v>
      </c>
      <c r="E116" s="39">
        <v>0.7923611111111111</v>
      </c>
    </row>
    <row r="117" spans="1:5" ht="12.75">
      <c r="A117" s="17">
        <f>A58-A7</f>
        <v>538</v>
      </c>
      <c r="B117" s="17">
        <f>B7</f>
        <v>28.041600000000003</v>
      </c>
      <c r="C117" s="19" t="s">
        <v>295</v>
      </c>
      <c r="D117" s="47" t="s">
        <v>286</v>
      </c>
      <c r="E117" s="39">
        <v>0.7979166666666667</v>
      </c>
    </row>
    <row r="118" spans="1:5" ht="12.75">
      <c r="A118" s="12">
        <f>A58-A6</f>
        <v>569</v>
      </c>
      <c r="B118" s="12">
        <f>B6</f>
        <v>12.192</v>
      </c>
      <c r="C118" t="s">
        <v>292</v>
      </c>
      <c r="D118" s="47" t="s">
        <v>286</v>
      </c>
      <c r="E118" s="36" t="s">
        <v>286</v>
      </c>
    </row>
    <row r="119" spans="1:5" ht="12.75">
      <c r="A119" s="17">
        <f>A58-A5</f>
        <v>573</v>
      </c>
      <c r="B119" s="17">
        <f>B5</f>
        <v>11.5824</v>
      </c>
      <c r="C119" s="19" t="s">
        <v>245</v>
      </c>
      <c r="D119" s="19" t="s">
        <v>246</v>
      </c>
      <c r="E119" s="39">
        <v>0.8333333333333334</v>
      </c>
    </row>
    <row r="120" spans="3:4" ht="12.75">
      <c r="C120" s="19" t="s">
        <v>290</v>
      </c>
      <c r="D120" s="19"/>
    </row>
    <row r="121" ht="12.75">
      <c r="C121" t="s">
        <v>377</v>
      </c>
    </row>
    <row r="122" ht="12.75">
      <c r="C122" s="19" t="s">
        <v>375</v>
      </c>
    </row>
    <row r="124" spans="1:10" ht="12.75">
      <c r="A124" s="50" t="s">
        <v>2</v>
      </c>
      <c r="B124" s="36" t="s">
        <v>222</v>
      </c>
      <c r="C124" s="42" t="s">
        <v>237</v>
      </c>
      <c r="D124" s="19"/>
      <c r="E124" s="57">
        <v>1</v>
      </c>
      <c r="F124" s="57">
        <v>2</v>
      </c>
      <c r="G124" s="57">
        <v>3</v>
      </c>
      <c r="I124" s="57">
        <v>1</v>
      </c>
      <c r="J124" s="57">
        <v>2</v>
      </c>
    </row>
    <row r="125" spans="1:10" ht="12.75">
      <c r="A125" s="16"/>
      <c r="C125" s="42" t="s">
        <v>389</v>
      </c>
      <c r="D125" s="19"/>
      <c r="E125" s="23" t="s">
        <v>379</v>
      </c>
      <c r="F125" s="23" t="s">
        <v>379</v>
      </c>
      <c r="G125" s="23" t="s">
        <v>379</v>
      </c>
      <c r="I125" s="23" t="s">
        <v>335</v>
      </c>
      <c r="J125" s="23" t="s">
        <v>335</v>
      </c>
    </row>
    <row r="126" spans="1:11" ht="12.75">
      <c r="A126" s="32">
        <v>0</v>
      </c>
      <c r="B126" s="17">
        <f>0.3048*38</f>
        <v>11.5824</v>
      </c>
      <c r="C126" s="19" t="s">
        <v>245</v>
      </c>
      <c r="D126" s="19" t="s">
        <v>241</v>
      </c>
      <c r="E126" s="39">
        <v>0.4583333333333333</v>
      </c>
      <c r="F126" s="39"/>
      <c r="I126" s="39">
        <f>E126</f>
        <v>0.4583333333333333</v>
      </c>
      <c r="J126" s="39"/>
      <c r="K126" s="39"/>
    </row>
    <row r="127" spans="1:11" ht="12.75">
      <c r="A127" s="46">
        <v>80.61</v>
      </c>
      <c r="B127" s="17">
        <f>0.3048*33</f>
        <v>10.0584</v>
      </c>
      <c r="C127" s="19" t="s">
        <v>270</v>
      </c>
      <c r="D127" s="19" t="s">
        <v>246</v>
      </c>
      <c r="E127" s="39">
        <v>0.5208333333333334</v>
      </c>
      <c r="F127" s="39"/>
      <c r="I127" s="39">
        <f>E127</f>
        <v>0.5208333333333334</v>
      </c>
      <c r="J127" s="39"/>
      <c r="K127" s="39"/>
    </row>
    <row r="128" spans="1:10" ht="12.75">
      <c r="A128" s="46">
        <v>80.61</v>
      </c>
      <c r="B128" s="17">
        <f>0.3048*33</f>
        <v>10.0584</v>
      </c>
      <c r="C128" s="19" t="s">
        <v>270</v>
      </c>
      <c r="D128" s="19" t="s">
        <v>241</v>
      </c>
      <c r="E128" s="39">
        <v>0.5555555555555556</v>
      </c>
      <c r="F128" s="39">
        <v>0.6805555555555556</v>
      </c>
      <c r="G128" s="39">
        <v>0.7777777777777778</v>
      </c>
      <c r="I128" s="39">
        <f>E128</f>
        <v>0.5555555555555556</v>
      </c>
      <c r="J128" s="39">
        <f>F128</f>
        <v>0.6805555555555556</v>
      </c>
    </row>
    <row r="129" spans="1:10" ht="12.75">
      <c r="A129" s="46">
        <v>100.56</v>
      </c>
      <c r="B129" s="17">
        <f>0.3048*21</f>
        <v>6.4008</v>
      </c>
      <c r="C129" s="19" t="s">
        <v>281</v>
      </c>
      <c r="D129" s="19" t="s">
        <v>246</v>
      </c>
      <c r="E129" s="39">
        <v>0.5798611111111112</v>
      </c>
      <c r="F129" s="39">
        <v>0.7048611111111112</v>
      </c>
      <c r="G129" s="39">
        <v>0.8020833333333334</v>
      </c>
      <c r="I129" s="39">
        <f>E129</f>
        <v>0.5798611111111112</v>
      </c>
      <c r="J129" s="39">
        <f>F129</f>
        <v>0.7048611111111112</v>
      </c>
    </row>
    <row r="130" spans="1:11" ht="12.75">
      <c r="A130" s="46"/>
      <c r="B130" s="17"/>
      <c r="C130" s="19"/>
      <c r="D130" s="19"/>
      <c r="E130" s="39"/>
      <c r="F130" s="39"/>
      <c r="I130" s="39"/>
      <c r="J130" s="39"/>
      <c r="K130" s="39"/>
    </row>
    <row r="131" ht="12.75">
      <c r="D131" s="19"/>
    </row>
    <row r="132" spans="1:10" ht="12.75">
      <c r="A132" s="50" t="s">
        <v>2</v>
      </c>
      <c r="B132" s="36" t="s">
        <v>222</v>
      </c>
      <c r="C132" s="42" t="s">
        <v>223</v>
      </c>
      <c r="D132" s="19"/>
      <c r="E132" s="57">
        <v>1</v>
      </c>
      <c r="F132" s="57">
        <v>2</v>
      </c>
      <c r="G132" s="57">
        <v>3</v>
      </c>
      <c r="I132" s="57">
        <v>1</v>
      </c>
      <c r="J132" s="57">
        <v>2</v>
      </c>
    </row>
    <row r="133" spans="1:10" ht="12.75">
      <c r="A133" s="16"/>
      <c r="C133" s="42" t="s">
        <v>389</v>
      </c>
      <c r="D133" s="19"/>
      <c r="E133" s="23" t="s">
        <v>379</v>
      </c>
      <c r="F133" s="23" t="s">
        <v>379</v>
      </c>
      <c r="G133" s="23" t="s">
        <v>379</v>
      </c>
      <c r="I133" s="23" t="s">
        <v>335</v>
      </c>
      <c r="J133" s="23" t="s">
        <v>335</v>
      </c>
    </row>
    <row r="134" spans="1:10" ht="12.75">
      <c r="A134" s="32">
        <f>A129-A129</f>
        <v>0</v>
      </c>
      <c r="B134" s="17">
        <f>B129</f>
        <v>6.4008</v>
      </c>
      <c r="C134" s="19" t="s">
        <v>281</v>
      </c>
      <c r="D134" s="19" t="s">
        <v>241</v>
      </c>
      <c r="E134" s="39">
        <v>0.6319444444444444</v>
      </c>
      <c r="F134" s="39">
        <v>0.7291666666666666</v>
      </c>
      <c r="G134" s="39">
        <v>0.8263888888888888</v>
      </c>
      <c r="I134" s="39">
        <f>E134</f>
        <v>0.6319444444444444</v>
      </c>
      <c r="J134" s="39">
        <v>0.7291666666666666</v>
      </c>
    </row>
    <row r="135" spans="1:10" ht="12.75">
      <c r="A135" s="32">
        <f>A129-A128</f>
        <v>19.950000000000003</v>
      </c>
      <c r="B135" s="17">
        <f>B128</f>
        <v>10.0584</v>
      </c>
      <c r="C135" s="19" t="s">
        <v>270</v>
      </c>
      <c r="D135" s="19" t="s">
        <v>246</v>
      </c>
      <c r="E135" s="39">
        <v>0.65625</v>
      </c>
      <c r="F135" s="39">
        <v>0.7534722222222222</v>
      </c>
      <c r="G135" s="39">
        <v>0.8506944444444444</v>
      </c>
      <c r="I135" s="39">
        <f>E135</f>
        <v>0.65625</v>
      </c>
      <c r="J135" s="39">
        <v>0.7534722222222222</v>
      </c>
    </row>
    <row r="136" spans="1:10" ht="12.75">
      <c r="A136" s="32">
        <f>A135</f>
        <v>19.950000000000003</v>
      </c>
      <c r="B136" s="48">
        <f>B135</f>
        <v>10.0584</v>
      </c>
      <c r="C136" s="19" t="s">
        <v>270</v>
      </c>
      <c r="D136" s="19" t="s">
        <v>241</v>
      </c>
      <c r="E136" s="39"/>
      <c r="F136" s="39"/>
      <c r="G136" s="39">
        <v>0.8576388888888888</v>
      </c>
      <c r="I136" s="39"/>
      <c r="J136" s="39">
        <v>0.7604166666666666</v>
      </c>
    </row>
    <row r="137" spans="1:10" ht="12.75">
      <c r="A137" s="32">
        <f>A129-A126</f>
        <v>100.56</v>
      </c>
      <c r="B137" s="17">
        <f>B126</f>
        <v>11.5824</v>
      </c>
      <c r="C137" s="19" t="s">
        <v>245</v>
      </c>
      <c r="D137" s="19" t="s">
        <v>246</v>
      </c>
      <c r="E137" s="39"/>
      <c r="F137" s="39"/>
      <c r="G137" s="39">
        <v>0.9201388888888888</v>
      </c>
      <c r="I137" s="39"/>
      <c r="J137" s="39">
        <v>0.8229166666666666</v>
      </c>
    </row>
    <row r="138" ht="12.75">
      <c r="C138" s="19"/>
    </row>
    <row r="140" spans="1:5" ht="12.75">
      <c r="A140" s="3">
        <v>1980</v>
      </c>
      <c r="C140" s="35" t="s">
        <v>221</v>
      </c>
      <c r="E140" s="36"/>
    </row>
    <row r="141" spans="1:3" ht="12.75">
      <c r="A141" s="36" t="s">
        <v>2</v>
      </c>
      <c r="B141" s="36" t="s">
        <v>222</v>
      </c>
      <c r="C141" s="35" t="s">
        <v>223</v>
      </c>
    </row>
    <row r="142" spans="3:5" ht="12.75">
      <c r="C142" s="35" t="s">
        <v>224</v>
      </c>
      <c r="E142" s="38"/>
    </row>
    <row r="143" spans="1:5" ht="12.75">
      <c r="A143" s="18">
        <v>0</v>
      </c>
      <c r="B143" s="18">
        <v>0</v>
      </c>
      <c r="C143" t="s">
        <v>225</v>
      </c>
      <c r="D143" t="s">
        <v>241</v>
      </c>
      <c r="E143" t="s">
        <v>226</v>
      </c>
    </row>
    <row r="144" spans="1:5" ht="12.75">
      <c r="A144" s="18">
        <v>2.73</v>
      </c>
      <c r="B144" s="18">
        <v>0</v>
      </c>
      <c r="C144" t="s">
        <v>227</v>
      </c>
      <c r="E144" s="39"/>
    </row>
    <row r="145" spans="1:5" ht="12.75">
      <c r="A145" s="18">
        <v>31.83</v>
      </c>
      <c r="B145" s="18">
        <f>0.3048*2885</f>
        <v>879.3480000000001</v>
      </c>
      <c r="C145" t="s">
        <v>228</v>
      </c>
      <c r="E145" s="40"/>
    </row>
    <row r="146" spans="1:5" ht="12.75">
      <c r="A146" s="18">
        <v>52.13</v>
      </c>
      <c r="B146" s="18">
        <f>0.3048*2916</f>
        <v>888.7968000000001</v>
      </c>
      <c r="C146" t="s">
        <v>229</v>
      </c>
      <c r="E146" s="40"/>
    </row>
    <row r="147" spans="1:5" ht="12.75">
      <c r="A147" s="18">
        <v>64.33</v>
      </c>
      <c r="B147" s="18">
        <f>0.3048*2158</f>
        <v>657.7584</v>
      </c>
      <c r="C147" t="s">
        <v>230</v>
      </c>
      <c r="E147" s="37"/>
    </row>
    <row r="148" spans="1:5" ht="12.75">
      <c r="A148" s="18">
        <v>107.63</v>
      </c>
      <c r="B148" s="18">
        <f>0.3048*2164</f>
        <v>659.5872</v>
      </c>
      <c r="C148" t="s">
        <v>116</v>
      </c>
      <c r="E148" s="40"/>
    </row>
    <row r="149" spans="1:5" ht="12.75">
      <c r="A149" s="18">
        <v>176.83</v>
      </c>
      <c r="B149" s="18">
        <f>0.3048*2079</f>
        <v>633.6792</v>
      </c>
      <c r="C149" t="s">
        <v>231</v>
      </c>
      <c r="D149" t="s">
        <v>246</v>
      </c>
      <c r="E149" s="40"/>
    </row>
    <row r="150" ht="12.75">
      <c r="C150" t="s">
        <v>232</v>
      </c>
    </row>
    <row r="151" ht="12.75">
      <c r="C151" t="s">
        <v>233</v>
      </c>
    </row>
    <row r="152" ht="12.75">
      <c r="C152" t="s">
        <v>234</v>
      </c>
    </row>
    <row r="153" ht="12.75">
      <c r="C153" t="s">
        <v>235</v>
      </c>
    </row>
    <row r="156" spans="3:5" ht="12.75">
      <c r="C156" s="35" t="s">
        <v>221</v>
      </c>
      <c r="E156" s="36"/>
    </row>
    <row r="157" spans="3:5" ht="12.75">
      <c r="C157" s="35"/>
      <c r="E157" s="36"/>
    </row>
    <row r="158" spans="1:3" ht="12.75">
      <c r="A158" s="36" t="s">
        <v>2</v>
      </c>
      <c r="B158" s="36" t="s">
        <v>222</v>
      </c>
      <c r="C158" s="35" t="s">
        <v>237</v>
      </c>
    </row>
    <row r="159" spans="3:5" ht="12.75">
      <c r="C159" s="35" t="s">
        <v>224</v>
      </c>
      <c r="E159" s="38"/>
    </row>
    <row r="160" spans="1:5" ht="12.75">
      <c r="A160" s="18">
        <f>A149-A149</f>
        <v>0</v>
      </c>
      <c r="B160" s="18">
        <f>0.3048*2079</f>
        <v>633.6792</v>
      </c>
      <c r="C160" t="s">
        <v>231</v>
      </c>
      <c r="D160" t="s">
        <v>241</v>
      </c>
      <c r="E160" t="s">
        <v>238</v>
      </c>
    </row>
    <row r="161" spans="1:5" ht="12.75">
      <c r="A161" s="34">
        <f>A149-A148</f>
        <v>69.20000000000002</v>
      </c>
      <c r="B161" s="18">
        <f>0.3048*2164</f>
        <v>659.5872</v>
      </c>
      <c r="C161" t="s">
        <v>116</v>
      </c>
      <c r="E161" s="40"/>
    </row>
    <row r="162" spans="1:5" ht="12.75">
      <c r="A162" s="34">
        <f>A149-A147</f>
        <v>112.50000000000001</v>
      </c>
      <c r="B162" s="18">
        <f>0.3048*2158</f>
        <v>657.7584</v>
      </c>
      <c r="C162" t="s">
        <v>230</v>
      </c>
      <c r="E162" s="40"/>
    </row>
    <row r="163" spans="1:5" ht="12.75">
      <c r="A163" s="34">
        <f>A149-A146</f>
        <v>124.70000000000002</v>
      </c>
      <c r="B163" s="18">
        <f>0.3048*2916</f>
        <v>888.7968000000001</v>
      </c>
      <c r="C163" t="s">
        <v>229</v>
      </c>
      <c r="E163" s="40"/>
    </row>
    <row r="164" spans="1:5" ht="12.75">
      <c r="A164" s="34">
        <f>A149-A145</f>
        <v>145</v>
      </c>
      <c r="B164" s="18">
        <f>0.3048*2885</f>
        <v>879.3480000000001</v>
      </c>
      <c r="C164" t="s">
        <v>228</v>
      </c>
      <c r="E164" s="40"/>
    </row>
    <row r="165" spans="1:5" ht="12.75">
      <c r="A165" s="34">
        <f>A149-A144</f>
        <v>174.10000000000002</v>
      </c>
      <c r="B165" s="18">
        <v>0</v>
      </c>
      <c r="C165" t="s">
        <v>227</v>
      </c>
      <c r="D165" t="s">
        <v>246</v>
      </c>
      <c r="E165" s="39"/>
    </row>
    <row r="166" spans="1:5" ht="12.75">
      <c r="A166" s="34">
        <f>A149-A143</f>
        <v>176.83</v>
      </c>
      <c r="B166" s="18">
        <v>0</v>
      </c>
      <c r="C166" t="s">
        <v>225</v>
      </c>
      <c r="D166" t="s">
        <v>246</v>
      </c>
      <c r="E166" s="40"/>
    </row>
    <row r="167" spans="3:5" ht="12.75">
      <c r="C167" t="s">
        <v>239</v>
      </c>
      <c r="E167" s="12"/>
    </row>
    <row r="168" ht="12.75">
      <c r="C168" t="s">
        <v>233</v>
      </c>
    </row>
    <row r="169" ht="12.75">
      <c r="C169" t="s">
        <v>234</v>
      </c>
    </row>
    <row r="170" ht="12.75">
      <c r="C170"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xml><?xml version="1.0" encoding="utf-8"?>
<worksheet xmlns="http://schemas.openxmlformats.org/spreadsheetml/2006/main" xmlns:r="http://schemas.openxmlformats.org/officeDocument/2006/relationships">
  <dimension ref="A1:F42"/>
  <sheetViews>
    <sheetView zoomScale="80" zoomScaleNormal="80" workbookViewId="0" topLeftCell="A1">
      <selection activeCell="A1" sqref="A1"/>
    </sheetView>
  </sheetViews>
  <sheetFormatPr defaultColWidth="12.57421875" defaultRowHeight="12.75"/>
  <cols>
    <col min="1" max="1" width="5.8515625" style="0" customWidth="1"/>
    <col min="2" max="2" width="4.8515625" style="0" customWidth="1"/>
    <col min="3" max="3" width="19.00390625" style="0" customWidth="1"/>
    <col min="4" max="16384" width="11.57421875" style="0" customWidth="1"/>
  </cols>
  <sheetData>
    <row r="1" spans="1:3" ht="12.75">
      <c r="A1" s="3" t="s">
        <v>218</v>
      </c>
      <c r="C1" s="35" t="s">
        <v>23</v>
      </c>
    </row>
    <row r="2" spans="1:4" ht="12.75">
      <c r="A2" t="s">
        <v>2</v>
      </c>
      <c r="D2" s="36" t="s">
        <v>22</v>
      </c>
    </row>
    <row r="3" spans="1:4" ht="12.75">
      <c r="A3">
        <v>0</v>
      </c>
      <c r="C3" t="s">
        <v>219</v>
      </c>
      <c r="D3" s="37">
        <v>0.3333333333333333</v>
      </c>
    </row>
    <row r="4" spans="1:4" ht="12.75">
      <c r="A4">
        <v>110</v>
      </c>
      <c r="C4" t="s">
        <v>220</v>
      </c>
      <c r="D4" s="37">
        <v>0.4791666666666667</v>
      </c>
    </row>
    <row r="6" spans="1:4" ht="12.75">
      <c r="A6" t="s">
        <v>2</v>
      </c>
      <c r="D6" s="36" t="s">
        <v>22</v>
      </c>
    </row>
    <row r="7" spans="1:4" ht="12.75">
      <c r="A7">
        <v>0</v>
      </c>
      <c r="C7" t="s">
        <v>220</v>
      </c>
      <c r="D7" s="37">
        <v>0.5208333333333334</v>
      </c>
    </row>
    <row r="8" spans="1:4" ht="12.75">
      <c r="A8">
        <v>110</v>
      </c>
      <c r="C8" t="s">
        <v>219</v>
      </c>
      <c r="D8" s="37">
        <v>0.6666666666666666</v>
      </c>
    </row>
    <row r="11" spans="1:6" ht="12.75">
      <c r="A11" s="3" t="s">
        <v>218</v>
      </c>
      <c r="C11" s="35" t="s">
        <v>221</v>
      </c>
      <c r="E11" s="36"/>
      <c r="F11" s="16"/>
    </row>
    <row r="12" spans="1:6" ht="12.75">
      <c r="A12" s="36" t="s">
        <v>2</v>
      </c>
      <c r="B12" s="36" t="s">
        <v>222</v>
      </c>
      <c r="C12" s="35" t="s">
        <v>223</v>
      </c>
      <c r="F12" s="16"/>
    </row>
    <row r="13" spans="3:6" ht="12.75">
      <c r="C13" s="35" t="s">
        <v>224</v>
      </c>
      <c r="E13" s="38"/>
      <c r="F13" s="16"/>
    </row>
    <row r="14" spans="1:6" ht="12.75">
      <c r="A14" s="18">
        <v>0</v>
      </c>
      <c r="B14" s="18">
        <v>0</v>
      </c>
      <c r="C14" t="s">
        <v>225</v>
      </c>
      <c r="D14" t="s">
        <v>226</v>
      </c>
      <c r="F14" s="16"/>
    </row>
    <row r="15" spans="1:6" ht="12.75">
      <c r="A15" s="18">
        <v>2.73</v>
      </c>
      <c r="B15" s="18">
        <v>0</v>
      </c>
      <c r="C15" t="s">
        <v>227</v>
      </c>
      <c r="E15" s="39"/>
      <c r="F15" s="16"/>
    </row>
    <row r="16" spans="1:6" ht="12.75">
      <c r="A16" s="18">
        <v>31.83</v>
      </c>
      <c r="B16" s="18">
        <f>0.3048*2885</f>
        <v>879.3480000000001</v>
      </c>
      <c r="C16" t="s">
        <v>228</v>
      </c>
      <c r="E16" s="40"/>
      <c r="F16" s="16"/>
    </row>
    <row r="17" spans="1:6" ht="12.75">
      <c r="A17" s="18">
        <v>52.13</v>
      </c>
      <c r="B17" s="18">
        <f>0.3048*2916</f>
        <v>888.7968000000001</v>
      </c>
      <c r="C17" t="s">
        <v>229</v>
      </c>
      <c r="E17" s="40"/>
      <c r="F17" s="16"/>
    </row>
    <row r="18" spans="1:6" ht="12.75">
      <c r="A18" s="18">
        <v>64.33</v>
      </c>
      <c r="B18" s="18">
        <f>0.3048*2158</f>
        <v>657.7584</v>
      </c>
      <c r="C18" t="s">
        <v>230</v>
      </c>
      <c r="E18" s="37"/>
      <c r="F18" s="16"/>
    </row>
    <row r="19" spans="1:6" ht="12.75">
      <c r="A19" s="18">
        <v>107.63</v>
      </c>
      <c r="B19" s="18">
        <f>0.3048*2164</f>
        <v>659.5872</v>
      </c>
      <c r="C19" t="s">
        <v>116</v>
      </c>
      <c r="E19" s="40"/>
      <c r="F19" s="16"/>
    </row>
    <row r="20" spans="1:6" ht="12.75">
      <c r="A20" s="18">
        <v>176.83</v>
      </c>
      <c r="B20" s="18">
        <f>0.3048*2079</f>
        <v>633.6792</v>
      </c>
      <c r="C20" t="s">
        <v>231</v>
      </c>
      <c r="E20" s="40"/>
      <c r="F20" s="16"/>
    </row>
    <row r="21" spans="3:6" ht="12.75">
      <c r="C21" t="s">
        <v>232</v>
      </c>
      <c r="F21" s="16"/>
    </row>
    <row r="22" spans="3:6" ht="12.75">
      <c r="C22" t="s">
        <v>233</v>
      </c>
      <c r="F22" s="16"/>
    </row>
    <row r="23" spans="3:6" ht="12.75">
      <c r="C23" t="s">
        <v>234</v>
      </c>
      <c r="F23" s="16"/>
    </row>
    <row r="24" spans="3:6" ht="12.75">
      <c r="C24" t="s">
        <v>235</v>
      </c>
      <c r="F24" s="16"/>
    </row>
    <row r="25" spans="3:6" ht="12.75">
      <c r="C25" t="s">
        <v>236</v>
      </c>
      <c r="F25" s="16"/>
    </row>
    <row r="27" spans="3:6" ht="12.75">
      <c r="C27" s="35" t="s">
        <v>221</v>
      </c>
      <c r="E27" s="36"/>
      <c r="F27" s="16"/>
    </row>
    <row r="28" spans="1:6" ht="12.75">
      <c r="A28" s="36" t="s">
        <v>2</v>
      </c>
      <c r="B28" s="36" t="s">
        <v>222</v>
      </c>
      <c r="C28" s="35" t="s">
        <v>237</v>
      </c>
      <c r="F28" s="16"/>
    </row>
    <row r="29" spans="3:6" ht="12.75">
      <c r="C29" s="35" t="s">
        <v>224</v>
      </c>
      <c r="E29" s="38"/>
      <c r="F29" s="16"/>
    </row>
    <row r="30" spans="1:6" ht="12.75">
      <c r="A30" s="18">
        <f>A20-A20</f>
        <v>0</v>
      </c>
      <c r="B30" s="18">
        <f>0.3048*2079</f>
        <v>633.6792</v>
      </c>
      <c r="C30" t="s">
        <v>231</v>
      </c>
      <c r="D30" t="s">
        <v>238</v>
      </c>
      <c r="F30" s="16"/>
    </row>
    <row r="31" spans="1:6" ht="12.75">
      <c r="A31" s="34">
        <f>A20-A19</f>
        <v>69.20000000000002</v>
      </c>
      <c r="B31" s="18">
        <f>0.3048*2164</f>
        <v>659.5872</v>
      </c>
      <c r="C31" t="s">
        <v>116</v>
      </c>
      <c r="E31" s="40"/>
      <c r="F31" s="16"/>
    </row>
    <row r="32" spans="1:6" ht="12.75">
      <c r="A32" s="34">
        <f>A20-A18</f>
        <v>112.50000000000001</v>
      </c>
      <c r="B32" s="18">
        <f>0.3048*2158</f>
        <v>657.7584</v>
      </c>
      <c r="C32" t="s">
        <v>230</v>
      </c>
      <c r="E32" s="40"/>
      <c r="F32" s="16"/>
    </row>
    <row r="33" spans="1:6" ht="12.75">
      <c r="A33" s="34">
        <f>A20-A17</f>
        <v>124.70000000000002</v>
      </c>
      <c r="B33" s="18">
        <f>0.3048*2916</f>
        <v>888.7968000000001</v>
      </c>
      <c r="C33" t="s">
        <v>229</v>
      </c>
      <c r="E33" s="40"/>
      <c r="F33" s="16"/>
    </row>
    <row r="34" spans="1:6" ht="12.75">
      <c r="A34" s="34">
        <f>A20-A16</f>
        <v>145</v>
      </c>
      <c r="B34" s="18">
        <f>0.3048*2885</f>
        <v>879.3480000000001</v>
      </c>
      <c r="C34" t="s">
        <v>228</v>
      </c>
      <c r="E34" s="40"/>
      <c r="F34" s="16"/>
    </row>
    <row r="35" spans="1:6" ht="12.75">
      <c r="A35" s="34">
        <f>A20-A15</f>
        <v>174.10000000000002</v>
      </c>
      <c r="B35" s="18">
        <v>0</v>
      </c>
      <c r="C35" t="s">
        <v>227</v>
      </c>
      <c r="E35" s="39"/>
      <c r="F35" s="16"/>
    </row>
    <row r="36" spans="1:6" ht="12.75">
      <c r="A36" s="34">
        <f>A20-A14</f>
        <v>176.83</v>
      </c>
      <c r="B36" s="18">
        <v>0</v>
      </c>
      <c r="C36" t="s">
        <v>225</v>
      </c>
      <c r="E36" s="40"/>
      <c r="F36" s="16"/>
    </row>
    <row r="37" spans="3:6" ht="12.75">
      <c r="C37" t="s">
        <v>239</v>
      </c>
      <c r="E37" s="12"/>
      <c r="F37" s="16"/>
    </row>
    <row r="38" spans="3:6" ht="12.75">
      <c r="C38" t="s">
        <v>233</v>
      </c>
      <c r="F38" s="16"/>
    </row>
    <row r="39" spans="3:6" ht="12.75">
      <c r="C39" t="s">
        <v>234</v>
      </c>
      <c r="F39" s="16"/>
    </row>
    <row r="40" spans="3:6" ht="12.75">
      <c r="C40" t="s">
        <v>235</v>
      </c>
      <c r="F40" s="16"/>
    </row>
    <row r="41" spans="3:6" ht="12.75">
      <c r="C41" t="s">
        <v>236</v>
      </c>
      <c r="F41" s="16"/>
    </row>
    <row r="42" ht="12.75">
      <c r="F42" s="1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0.xml><?xml version="1.0" encoding="utf-8"?>
<worksheet xmlns="http://schemas.openxmlformats.org/spreadsheetml/2006/main" xmlns:r="http://schemas.openxmlformats.org/officeDocument/2006/relationships">
  <dimension ref="A1:G161"/>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6" ht="12.75">
      <c r="A1" s="3" t="s">
        <v>77</v>
      </c>
      <c r="C1" s="3" t="s">
        <v>34</v>
      </c>
      <c r="E1" s="41" t="s">
        <v>345</v>
      </c>
      <c r="F1" s="41" t="s">
        <v>345</v>
      </c>
    </row>
    <row r="2" spans="1:6" ht="12.75">
      <c r="A2" s="50" t="s">
        <v>2</v>
      </c>
      <c r="B2" s="36" t="s">
        <v>222</v>
      </c>
      <c r="C2" s="42" t="s">
        <v>223</v>
      </c>
      <c r="D2" s="19"/>
      <c r="E2" s="41" t="s">
        <v>57</v>
      </c>
      <c r="F2" s="41" t="s">
        <v>57</v>
      </c>
    </row>
    <row r="3" spans="1:6" ht="12.75">
      <c r="A3" s="16"/>
      <c r="C3" s="42" t="s">
        <v>390</v>
      </c>
      <c r="D3" s="19"/>
      <c r="E3">
        <v>6</v>
      </c>
      <c r="F3">
        <v>8</v>
      </c>
    </row>
    <row r="4" spans="1:6" ht="12.75">
      <c r="A4" s="16"/>
      <c r="C4" s="19"/>
      <c r="D4" s="19"/>
      <c r="E4" s="43" t="s">
        <v>36</v>
      </c>
      <c r="F4" s="43" t="s">
        <v>47</v>
      </c>
    </row>
    <row r="5" spans="1:6" ht="12.75">
      <c r="A5">
        <v>0</v>
      </c>
      <c r="B5" s="17">
        <f>0.3048*38</f>
        <v>11.5824</v>
      </c>
      <c r="C5" s="19" t="s">
        <v>245</v>
      </c>
      <c r="D5" s="19" t="s">
        <v>241</v>
      </c>
      <c r="E5" s="39">
        <v>0.375</v>
      </c>
      <c r="F5" s="39">
        <f>E5+10/24</f>
        <v>0.7916666666666667</v>
      </c>
    </row>
    <row r="6" spans="1:6" ht="12.75">
      <c r="A6">
        <v>4</v>
      </c>
      <c r="B6" s="17">
        <f>0.3048*40</f>
        <v>12.192</v>
      </c>
      <c r="C6" s="19" t="s">
        <v>292</v>
      </c>
      <c r="D6" s="47" t="s">
        <v>286</v>
      </c>
      <c r="E6" s="39">
        <v>0.38055555555555554</v>
      </c>
      <c r="F6" s="39">
        <f>E6+10/24</f>
        <v>0.7972222222222223</v>
      </c>
    </row>
    <row r="7" spans="1:6" ht="12.75">
      <c r="A7">
        <v>8</v>
      </c>
      <c r="B7" s="17">
        <f>0.3048*222</f>
        <v>67.6656</v>
      </c>
      <c r="C7" s="19" t="s">
        <v>293</v>
      </c>
      <c r="D7" s="47" t="s">
        <v>286</v>
      </c>
      <c r="E7" s="39">
        <v>0.3854166666666667</v>
      </c>
      <c r="F7" s="39">
        <f>E7+10/24</f>
        <v>0.8020833333333334</v>
      </c>
    </row>
    <row r="8" spans="1:6" ht="12.75">
      <c r="A8">
        <v>20</v>
      </c>
      <c r="B8" s="17">
        <f>0.3048*197</f>
        <v>60.0456</v>
      </c>
      <c r="C8" s="19" t="s">
        <v>294</v>
      </c>
      <c r="D8" s="47" t="s">
        <v>286</v>
      </c>
      <c r="E8" s="39">
        <v>0.3958333333333333</v>
      </c>
      <c r="F8" s="39">
        <f>E8+10/24</f>
        <v>0.8125</v>
      </c>
    </row>
    <row r="9" spans="1:6" ht="12.75">
      <c r="A9">
        <v>35</v>
      </c>
      <c r="B9" s="17">
        <f>0.3048*92</f>
        <v>28.041600000000003</v>
      </c>
      <c r="C9" s="19" t="s">
        <v>295</v>
      </c>
      <c r="D9" s="47" t="s">
        <v>286</v>
      </c>
      <c r="E9" s="39">
        <v>0.4097222222222222</v>
      </c>
      <c r="F9" s="39">
        <f>E9+10/24</f>
        <v>0.8263888888888888</v>
      </c>
    </row>
    <row r="10" spans="1:6" ht="12.75">
      <c r="A10">
        <v>43</v>
      </c>
      <c r="B10" s="17">
        <f>0.3048*50</f>
        <v>15.24</v>
      </c>
      <c r="C10" s="19" t="s">
        <v>296</v>
      </c>
      <c r="D10" s="47" t="s">
        <v>286</v>
      </c>
      <c r="E10" s="39">
        <v>0.4166666666666667</v>
      </c>
      <c r="F10" s="39">
        <f>E10+10/24</f>
        <v>0.8333333333333334</v>
      </c>
    </row>
    <row r="11" spans="1:6" ht="12.75">
      <c r="A11">
        <v>59</v>
      </c>
      <c r="B11" s="17">
        <f>0.3048*36</f>
        <v>10.972800000000001</v>
      </c>
      <c r="C11" s="19" t="s">
        <v>247</v>
      </c>
      <c r="D11" s="47" t="s">
        <v>286</v>
      </c>
      <c r="E11" s="39">
        <v>0.42916666666666664</v>
      </c>
      <c r="F11" s="39">
        <f>E11+10/24</f>
        <v>0.8458333333333333</v>
      </c>
    </row>
    <row r="12" spans="1:6" ht="12.75">
      <c r="A12">
        <v>73</v>
      </c>
      <c r="B12" s="17">
        <f>0.3048*339</f>
        <v>103.3272</v>
      </c>
      <c r="C12" s="19" t="s">
        <v>248</v>
      </c>
      <c r="D12" s="47"/>
      <c r="E12" s="39">
        <v>0.44583333333333336</v>
      </c>
      <c r="F12" s="39">
        <f>E12+10/24</f>
        <v>0.8625</v>
      </c>
    </row>
    <row r="13" spans="1:6" ht="12.75">
      <c r="A13">
        <v>84</v>
      </c>
      <c r="B13" s="17">
        <f>0.3048*300</f>
        <v>91.44</v>
      </c>
      <c r="C13" s="19" t="s">
        <v>297</v>
      </c>
      <c r="D13" s="47" t="s">
        <v>286</v>
      </c>
      <c r="E13" s="39">
        <v>0.4527777777777778</v>
      </c>
      <c r="F13" s="39">
        <f>E13+10/24</f>
        <v>0.8694444444444445</v>
      </c>
    </row>
    <row r="14" spans="1:6" ht="12.75">
      <c r="A14">
        <v>98</v>
      </c>
      <c r="B14" s="17">
        <f>0.3048*246</f>
        <v>74.9808</v>
      </c>
      <c r="C14" t="s">
        <v>298</v>
      </c>
      <c r="D14" s="47" t="s">
        <v>286</v>
      </c>
      <c r="E14" s="39">
        <v>0.4618055555555556</v>
      </c>
      <c r="F14" s="39">
        <f>E14+10/24</f>
        <v>0.8784722222222223</v>
      </c>
    </row>
    <row r="15" spans="1:6" ht="12.75">
      <c r="A15">
        <v>107</v>
      </c>
      <c r="B15" s="17">
        <f>0.3048*236</f>
        <v>71.9328</v>
      </c>
      <c r="C15" t="s">
        <v>299</v>
      </c>
      <c r="D15" s="47" t="s">
        <v>286</v>
      </c>
      <c r="E15" s="39">
        <v>0.4666666666666667</v>
      </c>
      <c r="F15" s="39">
        <f>E15+10/24</f>
        <v>0.8833333333333333</v>
      </c>
    </row>
    <row r="16" spans="1:6" ht="12.75">
      <c r="A16">
        <v>115</v>
      </c>
      <c r="B16" s="17">
        <f>0.3048*232</f>
        <v>70.7136</v>
      </c>
      <c r="C16" t="s">
        <v>300</v>
      </c>
      <c r="D16" s="47" t="s">
        <v>286</v>
      </c>
      <c r="E16" s="39">
        <v>0.47430555555555554</v>
      </c>
      <c r="F16" s="39">
        <f>E16+10/24</f>
        <v>0.8909722222222223</v>
      </c>
    </row>
    <row r="17" spans="1:6" ht="12.75">
      <c r="A17">
        <v>123</v>
      </c>
      <c r="B17" s="17">
        <f>0.3048*175</f>
        <v>53.34</v>
      </c>
      <c r="C17" t="s">
        <v>301</v>
      </c>
      <c r="D17" s="47" t="s">
        <v>286</v>
      </c>
      <c r="E17" s="39">
        <v>0.4777777777777778</v>
      </c>
      <c r="F17" s="39">
        <f>E17+10/24</f>
        <v>0.8944444444444445</v>
      </c>
    </row>
    <row r="18" spans="1:6" ht="12.75">
      <c r="A18">
        <v>128</v>
      </c>
      <c r="B18" s="17">
        <f>0.3048*236</f>
        <v>71.9328</v>
      </c>
      <c r="C18" t="s">
        <v>302</v>
      </c>
      <c r="D18" s="47" t="s">
        <v>286</v>
      </c>
      <c r="E18" s="39">
        <v>0.48333333333333334</v>
      </c>
      <c r="F18" s="39">
        <f>E18+10/24</f>
        <v>0.9</v>
      </c>
    </row>
    <row r="19" spans="1:6" ht="12.75">
      <c r="A19">
        <v>142</v>
      </c>
      <c r="B19" s="17">
        <f>0.3048*246</f>
        <v>74.9808</v>
      </c>
      <c r="C19" t="s">
        <v>303</v>
      </c>
      <c r="D19" s="47" t="s">
        <v>286</v>
      </c>
      <c r="E19" s="39">
        <v>0.49236111111111114</v>
      </c>
      <c r="F19" s="39">
        <f>E19+10/24</f>
        <v>0.9090277777777778</v>
      </c>
    </row>
    <row r="20" spans="1:6" ht="12.75">
      <c r="A20">
        <v>153</v>
      </c>
      <c r="B20" s="17">
        <f>0.3048*282</f>
        <v>85.95360000000001</v>
      </c>
      <c r="C20" t="s">
        <v>305</v>
      </c>
      <c r="D20" s="47" t="s">
        <v>286</v>
      </c>
      <c r="E20" s="39">
        <v>0.5013888888888889</v>
      </c>
      <c r="F20" s="39">
        <f>E20+10/24</f>
        <v>0.9180555555555556</v>
      </c>
    </row>
    <row r="21" spans="1:6" ht="12.75">
      <c r="A21">
        <v>163</v>
      </c>
      <c r="B21" s="17">
        <f>0.3048*328</f>
        <v>99.9744</v>
      </c>
      <c r="C21" t="s">
        <v>307</v>
      </c>
      <c r="D21" s="47" t="s">
        <v>286</v>
      </c>
      <c r="E21" s="39">
        <v>0.5076388888888889</v>
      </c>
      <c r="F21" s="39">
        <f>E21+10/24</f>
        <v>0.9243055555555555</v>
      </c>
    </row>
    <row r="22" spans="1:6" ht="12.75">
      <c r="A22">
        <v>181</v>
      </c>
      <c r="B22" s="17">
        <f>0.3048*354</f>
        <v>107.89920000000001</v>
      </c>
      <c r="C22" s="19" t="s">
        <v>249</v>
      </c>
      <c r="D22" s="19"/>
      <c r="E22" s="39">
        <v>0.5201388888888889</v>
      </c>
      <c r="F22" s="39">
        <f>E22+10/24</f>
        <v>0.9368055555555557</v>
      </c>
    </row>
    <row r="23" spans="1:6" ht="12.75">
      <c r="A23">
        <v>196</v>
      </c>
      <c r="B23" s="17">
        <f>0.3048*461</f>
        <v>140.5128</v>
      </c>
      <c r="C23" s="19" t="s">
        <v>309</v>
      </c>
      <c r="D23" s="47" t="s">
        <v>286</v>
      </c>
      <c r="E23" s="39">
        <v>0.5298611111111111</v>
      </c>
      <c r="F23" s="39">
        <f>E23+10/24</f>
        <v>0.9465277777777779</v>
      </c>
    </row>
    <row r="24" spans="1:6" ht="12.75">
      <c r="A24">
        <v>216</v>
      </c>
      <c r="B24" s="17">
        <f>0.3048*546</f>
        <v>166.4208</v>
      </c>
      <c r="C24" s="19" t="s">
        <v>250</v>
      </c>
      <c r="D24" s="47" t="s">
        <v>286</v>
      </c>
      <c r="E24" s="39">
        <v>0.5472222222222223</v>
      </c>
      <c r="F24" s="39">
        <f>E24+10/24</f>
        <v>0.963888888888889</v>
      </c>
    </row>
    <row r="25" spans="1:6" ht="12.75">
      <c r="A25">
        <v>231</v>
      </c>
      <c r="B25" s="17">
        <f>0.3048*621</f>
        <v>189.2808</v>
      </c>
      <c r="C25" s="19" t="s">
        <v>310</v>
      </c>
      <c r="D25" s="47" t="s">
        <v>286</v>
      </c>
      <c r="E25" s="39">
        <v>0.5590277777777778</v>
      </c>
      <c r="F25" s="39">
        <f>E25+10/24</f>
        <v>0.9756944444444444</v>
      </c>
    </row>
    <row r="26" spans="1:6" ht="12.75">
      <c r="A26">
        <v>240</v>
      </c>
      <c r="B26" s="17">
        <f>0.3048*731</f>
        <v>222.80880000000002</v>
      </c>
      <c r="C26" s="19" t="s">
        <v>311</v>
      </c>
      <c r="D26" s="47" t="s">
        <v>286</v>
      </c>
      <c r="E26" s="39">
        <v>0.5659722222222222</v>
      </c>
      <c r="F26" s="39">
        <f>E26+10/24</f>
        <v>0.9826388888888888</v>
      </c>
    </row>
    <row r="27" spans="1:6" ht="12.75">
      <c r="A27">
        <v>248</v>
      </c>
      <c r="B27" s="17">
        <f>0.3048*879</f>
        <v>267.9192</v>
      </c>
      <c r="C27" s="19" t="s">
        <v>312</v>
      </c>
      <c r="D27" s="47" t="s">
        <v>286</v>
      </c>
      <c r="E27" s="39">
        <v>0.5736111111111111</v>
      </c>
      <c r="F27" s="39">
        <f>E27+10/24</f>
        <v>0.9902777777777778</v>
      </c>
    </row>
    <row r="28" spans="1:6" ht="12.75">
      <c r="A28">
        <v>257</v>
      </c>
      <c r="B28" s="17">
        <f>0.3048*1280</f>
        <v>390.144</v>
      </c>
      <c r="C28" s="19" t="s">
        <v>313</v>
      </c>
      <c r="D28" s="47" t="s">
        <v>286</v>
      </c>
      <c r="E28" s="39">
        <v>0.5840277777777778</v>
      </c>
      <c r="F28" s="39">
        <f>E28+10/24</f>
        <v>1.0006944444444446</v>
      </c>
    </row>
    <row r="29" spans="1:6" ht="12.75">
      <c r="A29">
        <v>269</v>
      </c>
      <c r="B29" s="17">
        <f>0.3048*1688</f>
        <v>514.5024000000001</v>
      </c>
      <c r="C29" s="19" t="s">
        <v>252</v>
      </c>
      <c r="D29" s="47" t="s">
        <v>286</v>
      </c>
      <c r="E29" s="39">
        <v>0.5993055555555555</v>
      </c>
      <c r="F29" s="39">
        <f>E29+10/24</f>
        <v>1.0159722222222223</v>
      </c>
    </row>
    <row r="30" spans="1:6" ht="12.75">
      <c r="A30">
        <v>281</v>
      </c>
      <c r="B30" s="17">
        <f>0.3048*1456</f>
        <v>443.78880000000004</v>
      </c>
      <c r="C30" t="s">
        <v>314</v>
      </c>
      <c r="D30" s="47" t="s">
        <v>286</v>
      </c>
      <c r="E30" s="39">
        <v>0.6152777777777778</v>
      </c>
      <c r="F30" s="39">
        <f>E30+10/24</f>
        <v>1.0319444444444446</v>
      </c>
    </row>
    <row r="31" spans="1:6" ht="12.75">
      <c r="A31">
        <v>294</v>
      </c>
      <c r="B31" s="17">
        <f>0.3048*1954</f>
        <v>595.5792</v>
      </c>
      <c r="C31" t="s">
        <v>315</v>
      </c>
      <c r="D31" s="47" t="s">
        <v>286</v>
      </c>
      <c r="E31" s="39">
        <v>0.6256944444444444</v>
      </c>
      <c r="F31" s="39">
        <f>E31+10/24</f>
        <v>1.042361111111111</v>
      </c>
    </row>
    <row r="32" spans="1:6" ht="12.75">
      <c r="A32">
        <v>306</v>
      </c>
      <c r="B32" s="17">
        <f>0.3048*2127</f>
        <v>648.3096</v>
      </c>
      <c r="C32" t="s">
        <v>253</v>
      </c>
      <c r="D32" s="47" t="s">
        <v>286</v>
      </c>
      <c r="E32" s="39">
        <v>0.6347222222222222</v>
      </c>
      <c r="F32" s="39">
        <f>E32+10/24</f>
        <v>1.051388888888889</v>
      </c>
    </row>
    <row r="33" spans="1:6" ht="12.75">
      <c r="A33">
        <v>319</v>
      </c>
      <c r="B33" s="17">
        <f>0.3048*2337</f>
        <v>712.3176000000001</v>
      </c>
      <c r="C33" t="s">
        <v>125</v>
      </c>
      <c r="D33" s="47" t="s">
        <v>286</v>
      </c>
      <c r="E33" s="39">
        <v>0.6444444444444445</v>
      </c>
      <c r="F33" s="39">
        <f>E33+10/24</f>
        <v>1.0611111111111111</v>
      </c>
    </row>
    <row r="34" spans="1:6" ht="12.75">
      <c r="A34">
        <v>330</v>
      </c>
      <c r="B34" s="17">
        <f>0.3048*2212</f>
        <v>674.2176000000001</v>
      </c>
      <c r="C34" t="s">
        <v>254</v>
      </c>
      <c r="D34" s="47"/>
      <c r="E34" s="39">
        <v>0.6534722222222222</v>
      </c>
      <c r="F34" s="39">
        <f>E34+10/24</f>
        <v>1.070138888888889</v>
      </c>
    </row>
    <row r="35" spans="1:6" ht="12.75">
      <c r="A35">
        <v>342</v>
      </c>
      <c r="B35" s="17">
        <f>0.3048*2056</f>
        <v>626.6688</v>
      </c>
      <c r="C35" s="19" t="s">
        <v>316</v>
      </c>
      <c r="D35" s="47" t="s">
        <v>286</v>
      </c>
      <c r="E35" s="39">
        <v>0.6638888888888889</v>
      </c>
      <c r="F35" s="39">
        <f>E35+10/24</f>
        <v>1.0805555555555555</v>
      </c>
    </row>
    <row r="36" spans="1:6" ht="12.75">
      <c r="A36">
        <v>354</v>
      </c>
      <c r="B36" s="17">
        <f>0.3048*1957</f>
        <v>596.4936</v>
      </c>
      <c r="C36" t="s">
        <v>317</v>
      </c>
      <c r="D36" s="47" t="s">
        <v>286</v>
      </c>
      <c r="E36" s="39">
        <v>0.6756944444444445</v>
      </c>
      <c r="F36" s="39">
        <f>E36+10/24</f>
        <v>1.0923611111111111</v>
      </c>
    </row>
    <row r="37" spans="1:6" ht="12.75">
      <c r="A37">
        <v>369</v>
      </c>
      <c r="B37" s="17">
        <f>0.3048*1890</f>
        <v>576.072</v>
      </c>
      <c r="C37" t="s">
        <v>318</v>
      </c>
      <c r="D37" s="47" t="s">
        <v>286</v>
      </c>
      <c r="E37" s="39">
        <v>0.6895833333333333</v>
      </c>
      <c r="F37" s="39">
        <f>E37+10/24</f>
        <v>1.10625</v>
      </c>
    </row>
    <row r="38" spans="1:6" ht="12.75">
      <c r="A38">
        <v>376</v>
      </c>
      <c r="B38" s="17">
        <f>0.3048*1732</f>
        <v>527.9136</v>
      </c>
      <c r="C38" s="39" t="s">
        <v>255</v>
      </c>
      <c r="D38" s="47"/>
      <c r="E38" s="39">
        <v>0.6979166666666666</v>
      </c>
      <c r="F38" s="39">
        <f>E38+10/24</f>
        <v>1.1145833333333333</v>
      </c>
    </row>
    <row r="39" spans="1:6" ht="12.75">
      <c r="A39">
        <v>388</v>
      </c>
      <c r="B39" s="17">
        <f>0.3048*1432</f>
        <v>436.47360000000003</v>
      </c>
      <c r="C39" t="s">
        <v>319</v>
      </c>
      <c r="D39" s="47" t="s">
        <v>286</v>
      </c>
      <c r="E39" s="39">
        <v>0.7180555555555556</v>
      </c>
      <c r="F39" s="39">
        <f>E39+10/24</f>
        <v>1.1347222222222222</v>
      </c>
    </row>
    <row r="40" spans="1:6" ht="12.75">
      <c r="A40">
        <v>393</v>
      </c>
      <c r="B40" s="17">
        <f>0.3048*1368</f>
        <v>416.9664</v>
      </c>
      <c r="C40" s="19" t="s">
        <v>256</v>
      </c>
      <c r="D40" s="19" t="s">
        <v>246</v>
      </c>
      <c r="E40" s="39">
        <v>0.725</v>
      </c>
      <c r="F40" s="39">
        <f>E40+10/24</f>
        <v>1.1416666666666666</v>
      </c>
    </row>
    <row r="41" spans="1:6" ht="12.75">
      <c r="A41">
        <v>393</v>
      </c>
      <c r="B41" s="17">
        <f>0.3048*1368</f>
        <v>416.9664</v>
      </c>
      <c r="C41" s="19" t="s">
        <v>256</v>
      </c>
      <c r="D41" s="19" t="s">
        <v>241</v>
      </c>
      <c r="E41" s="39">
        <v>0.7319444444444444</v>
      </c>
      <c r="F41" s="39">
        <f>E41+10/24</f>
        <v>1.148611111111111</v>
      </c>
    </row>
    <row r="42" spans="1:6" ht="12.75">
      <c r="A42">
        <v>401</v>
      </c>
      <c r="B42" s="17">
        <f>0.3048*1176</f>
        <v>358.44480000000004</v>
      </c>
      <c r="C42" t="s">
        <v>320</v>
      </c>
      <c r="D42" s="47" t="s">
        <v>286</v>
      </c>
      <c r="E42" s="39">
        <v>0.7388888888888889</v>
      </c>
      <c r="F42" s="39">
        <f>E42+10/24</f>
        <v>1.1555555555555557</v>
      </c>
    </row>
    <row r="43" spans="1:6" ht="12.75">
      <c r="A43">
        <v>413</v>
      </c>
      <c r="B43" s="17">
        <f>0.3048*1006</f>
        <v>306.6288</v>
      </c>
      <c r="C43" t="s">
        <v>321</v>
      </c>
      <c r="D43" s="47" t="s">
        <v>286</v>
      </c>
      <c r="E43" s="39">
        <v>0.7479166666666667</v>
      </c>
      <c r="F43" s="39">
        <f>E43+10/24</f>
        <v>1.1645833333333333</v>
      </c>
    </row>
    <row r="44" spans="1:6" ht="12.75">
      <c r="A44">
        <v>429</v>
      </c>
      <c r="B44" s="17">
        <f>0.3048*810</f>
        <v>246.888</v>
      </c>
      <c r="C44" t="s">
        <v>322</v>
      </c>
      <c r="D44" s="47" t="s">
        <v>286</v>
      </c>
      <c r="E44" s="39">
        <v>0.7583333333333333</v>
      </c>
      <c r="F44" s="39">
        <f>E44+10/24</f>
        <v>1.175</v>
      </c>
    </row>
    <row r="45" spans="1:6" ht="12.75">
      <c r="A45">
        <v>448</v>
      </c>
      <c r="B45" s="17">
        <f>0.3048*537</f>
        <v>163.6776</v>
      </c>
      <c r="C45" t="s">
        <v>323</v>
      </c>
      <c r="D45" s="47" t="s">
        <v>286</v>
      </c>
      <c r="E45" s="39">
        <v>0.7722222222222223</v>
      </c>
      <c r="F45" s="39">
        <f>E45+10/24</f>
        <v>1.1888888888888889</v>
      </c>
    </row>
    <row r="46" spans="1:6" ht="12.75">
      <c r="A46">
        <v>462</v>
      </c>
      <c r="B46" s="17">
        <f>0.3048*433</f>
        <v>131.9784</v>
      </c>
      <c r="C46" t="s">
        <v>324</v>
      </c>
      <c r="D46" s="47" t="s">
        <v>286</v>
      </c>
      <c r="E46" s="39">
        <v>0.7826388888888889</v>
      </c>
      <c r="F46" s="39">
        <f>E46+10/24</f>
        <v>1.1993055555555556</v>
      </c>
    </row>
    <row r="47" spans="1:6" ht="12.75">
      <c r="A47">
        <v>479</v>
      </c>
      <c r="B47" s="17">
        <f>0.3048*362</f>
        <v>110.33760000000001</v>
      </c>
      <c r="C47" s="19" t="s">
        <v>257</v>
      </c>
      <c r="D47" s="47"/>
      <c r="E47" s="39">
        <v>0.7965277777777777</v>
      </c>
      <c r="F47" s="39">
        <f>E47+10/24</f>
        <v>1.2131944444444445</v>
      </c>
    </row>
    <row r="48" spans="1:6" ht="12.75">
      <c r="A48">
        <v>484</v>
      </c>
      <c r="B48" s="17">
        <f>0.3048*367</f>
        <v>111.86160000000001</v>
      </c>
      <c r="C48" s="19" t="s">
        <v>325</v>
      </c>
      <c r="D48" s="47" t="s">
        <v>286</v>
      </c>
      <c r="E48" s="39">
        <v>0.8034722222222223</v>
      </c>
      <c r="F48" s="39">
        <f>E48+10/24</f>
        <v>1.2201388888888889</v>
      </c>
    </row>
    <row r="49" spans="1:6" ht="12.75">
      <c r="A49">
        <v>493</v>
      </c>
      <c r="B49" s="17">
        <f>0.3048*368</f>
        <v>112.16640000000001</v>
      </c>
      <c r="C49" s="19" t="s">
        <v>326</v>
      </c>
      <c r="D49" s="47" t="s">
        <v>286</v>
      </c>
      <c r="E49" s="39">
        <v>0.8090277777777778</v>
      </c>
      <c r="F49" s="39">
        <f>E49+10/24</f>
        <v>1.2256944444444444</v>
      </c>
    </row>
    <row r="50" spans="1:6" ht="12.75">
      <c r="A50">
        <v>511</v>
      </c>
      <c r="B50" s="17">
        <f>0.3048*368</f>
        <v>112.16640000000001</v>
      </c>
      <c r="C50" s="19" t="s">
        <v>327</v>
      </c>
      <c r="D50" s="47" t="s">
        <v>286</v>
      </c>
      <c r="E50" s="39">
        <v>0.8201388888888889</v>
      </c>
      <c r="F50" s="39">
        <f>E50+10/24</f>
        <v>1.2368055555555555</v>
      </c>
    </row>
    <row r="51" spans="1:6" ht="12.75">
      <c r="A51">
        <v>523</v>
      </c>
      <c r="B51" s="17">
        <f>0.3048*406</f>
        <v>123.7488</v>
      </c>
      <c r="C51" s="19" t="s">
        <v>328</v>
      </c>
      <c r="D51" s="47" t="s">
        <v>286</v>
      </c>
      <c r="E51" s="39">
        <v>0.8277777777777777</v>
      </c>
      <c r="F51" s="39">
        <f>E51+10/24</f>
        <v>1.2444444444444445</v>
      </c>
    </row>
    <row r="52" spans="1:6" ht="12.75">
      <c r="A52">
        <v>541</v>
      </c>
      <c r="B52" s="17">
        <f>0.3048*465</f>
        <v>141.732</v>
      </c>
      <c r="C52" s="19" t="s">
        <v>329</v>
      </c>
      <c r="D52" s="47" t="s">
        <v>286</v>
      </c>
      <c r="E52" s="39">
        <v>0.8402777777777778</v>
      </c>
      <c r="F52" s="39">
        <f>E52+10/24</f>
        <v>1.2569444444444444</v>
      </c>
    </row>
    <row r="53" spans="1:6" ht="12.75">
      <c r="A53">
        <v>550</v>
      </c>
      <c r="B53" s="17">
        <f>0.3048*520</f>
        <v>158.496</v>
      </c>
      <c r="C53" s="19" t="s">
        <v>330</v>
      </c>
      <c r="D53" s="47" t="s">
        <v>286</v>
      </c>
      <c r="E53" s="39">
        <v>0.8472222222222222</v>
      </c>
      <c r="F53" s="39">
        <f>E53+10/24</f>
        <v>1.2638888888888888</v>
      </c>
    </row>
    <row r="54" spans="1:6" ht="12.75">
      <c r="A54">
        <v>561</v>
      </c>
      <c r="B54" s="17">
        <f>0.3048*609</f>
        <v>185.6232</v>
      </c>
      <c r="C54" s="19" t="s">
        <v>331</v>
      </c>
      <c r="D54" s="47" t="s">
        <v>286</v>
      </c>
      <c r="E54" s="39">
        <v>0.8576388888888888</v>
      </c>
      <c r="F54" s="39">
        <f>E54+10/24</f>
        <v>1.2743055555555556</v>
      </c>
    </row>
    <row r="55" spans="1:6" ht="12.75">
      <c r="A55">
        <v>573</v>
      </c>
      <c r="B55" s="17">
        <f>0.3048*448</f>
        <v>136.5504</v>
      </c>
      <c r="C55" s="19" t="s">
        <v>258</v>
      </c>
      <c r="D55" s="19" t="s">
        <v>246</v>
      </c>
      <c r="E55" s="39">
        <v>0.8715277777777778</v>
      </c>
      <c r="F55" s="39">
        <f>E55+10/24</f>
        <v>1.2881944444444444</v>
      </c>
    </row>
    <row r="56" spans="1:4" ht="12.75">
      <c r="A56" s="16"/>
      <c r="C56" s="19" t="s">
        <v>290</v>
      </c>
      <c r="D56" s="19"/>
    </row>
    <row r="57" spans="5:6" ht="12.75">
      <c r="E57" s="41" t="s">
        <v>345</v>
      </c>
      <c r="F57" s="41" t="s">
        <v>345</v>
      </c>
    </row>
    <row r="58" spans="1:6" ht="12.75">
      <c r="A58" s="50" t="s">
        <v>2</v>
      </c>
      <c r="B58" s="36" t="s">
        <v>222</v>
      </c>
      <c r="C58" s="42" t="s">
        <v>237</v>
      </c>
      <c r="D58" s="19"/>
      <c r="E58" s="41" t="s">
        <v>57</v>
      </c>
      <c r="F58" s="41" t="s">
        <v>57</v>
      </c>
    </row>
    <row r="59" spans="1:6" ht="12.75">
      <c r="A59" s="16"/>
      <c r="C59" s="42" t="s">
        <v>390</v>
      </c>
      <c r="D59" s="19"/>
      <c r="E59">
        <v>5</v>
      </c>
      <c r="F59">
        <v>7</v>
      </c>
    </row>
    <row r="60" spans="1:6" ht="12.75">
      <c r="A60" s="16"/>
      <c r="C60" s="19"/>
      <c r="D60" s="19"/>
      <c r="E60" s="43" t="s">
        <v>42</v>
      </c>
      <c r="F60" s="43" t="s">
        <v>39</v>
      </c>
    </row>
    <row r="61" spans="1:6" ht="12.75">
      <c r="A61" s="17">
        <f>A55-A55</f>
        <v>0</v>
      </c>
      <c r="B61" s="17">
        <f>B55-B55</f>
        <v>0</v>
      </c>
      <c r="C61" s="19" t="s">
        <v>258</v>
      </c>
      <c r="D61" s="19" t="s">
        <v>241</v>
      </c>
      <c r="E61" s="39">
        <v>0.375</v>
      </c>
      <c r="F61" s="39">
        <f>E61+14/24</f>
        <v>0.9583333333333334</v>
      </c>
    </row>
    <row r="62" spans="1:6" ht="12.75">
      <c r="A62" s="17">
        <f>A55-A54</f>
        <v>12</v>
      </c>
      <c r="B62" s="17">
        <f>B54</f>
        <v>185.6232</v>
      </c>
      <c r="C62" s="19" t="s">
        <v>331</v>
      </c>
      <c r="D62" s="47" t="s">
        <v>286</v>
      </c>
      <c r="E62" s="39">
        <v>0.3854166666666667</v>
      </c>
      <c r="F62" s="39">
        <f>E62+14/24</f>
        <v>0.96875</v>
      </c>
    </row>
    <row r="63" spans="1:6" ht="12.75">
      <c r="A63" s="17">
        <f>A55-A53</f>
        <v>23</v>
      </c>
      <c r="B63" s="17">
        <f>B53</f>
        <v>158.496</v>
      </c>
      <c r="C63" s="19" t="s">
        <v>330</v>
      </c>
      <c r="D63" s="47" t="s">
        <v>286</v>
      </c>
      <c r="E63" s="39">
        <v>0.3958333333333333</v>
      </c>
      <c r="F63" s="39">
        <f>E63+14/24</f>
        <v>0.9791666666666667</v>
      </c>
    </row>
    <row r="64" spans="1:6" ht="12.75">
      <c r="A64" s="17">
        <f>A55-A52</f>
        <v>32</v>
      </c>
      <c r="B64" s="17">
        <f>B52</f>
        <v>141.732</v>
      </c>
      <c r="C64" s="19" t="s">
        <v>329</v>
      </c>
      <c r="D64" s="47" t="s">
        <v>286</v>
      </c>
      <c r="E64" s="39">
        <v>0.4027777777777778</v>
      </c>
      <c r="F64" s="39">
        <f>E64+14/24</f>
        <v>0.9861111111111112</v>
      </c>
    </row>
    <row r="65" spans="1:6" ht="12.75">
      <c r="A65" s="17">
        <f>A55-A51</f>
        <v>50</v>
      </c>
      <c r="B65" s="17">
        <f>B51</f>
        <v>123.7488</v>
      </c>
      <c r="C65" s="19" t="s">
        <v>328</v>
      </c>
      <c r="D65" s="47" t="s">
        <v>286</v>
      </c>
      <c r="E65" s="39">
        <v>0.41458333333333336</v>
      </c>
      <c r="F65" s="39">
        <f>E65+14/24</f>
        <v>0.9979166666666668</v>
      </c>
    </row>
    <row r="66" spans="1:6" ht="12.75">
      <c r="A66" s="17">
        <f>A55-A50</f>
        <v>62</v>
      </c>
      <c r="B66" s="17">
        <f>B50</f>
        <v>112.16640000000001</v>
      </c>
      <c r="C66" s="19" t="s">
        <v>327</v>
      </c>
      <c r="D66" s="47" t="s">
        <v>286</v>
      </c>
      <c r="E66" s="39">
        <v>0.4222222222222222</v>
      </c>
      <c r="F66" s="39">
        <f>E66+14/24</f>
        <v>1.0055555555555555</v>
      </c>
    </row>
    <row r="67" spans="1:6" ht="12.75">
      <c r="A67" s="17">
        <f>A55-A49</f>
        <v>80</v>
      </c>
      <c r="B67" s="17">
        <f>B49</f>
        <v>112.16640000000001</v>
      </c>
      <c r="C67" s="19" t="s">
        <v>326</v>
      </c>
      <c r="D67" s="47" t="s">
        <v>286</v>
      </c>
      <c r="E67" s="39">
        <v>0.43333333333333335</v>
      </c>
      <c r="F67" s="39">
        <f>E67+14/24</f>
        <v>1.0166666666666666</v>
      </c>
    </row>
    <row r="68" spans="1:6" ht="12.75">
      <c r="A68" s="17">
        <f>A55-A48</f>
        <v>89</v>
      </c>
      <c r="B68" s="17">
        <f>B48</f>
        <v>111.86160000000001</v>
      </c>
      <c r="C68" s="19" t="s">
        <v>325</v>
      </c>
      <c r="D68" s="47" t="s">
        <v>286</v>
      </c>
      <c r="E68" s="39">
        <v>0.4388888888888889</v>
      </c>
      <c r="F68" s="39">
        <f>E68+14/24</f>
        <v>1.0222222222222221</v>
      </c>
    </row>
    <row r="69" spans="1:6" ht="12.75">
      <c r="A69" s="17">
        <f>A55-A47</f>
        <v>94</v>
      </c>
      <c r="B69" s="17">
        <f>B47</f>
        <v>110.33760000000001</v>
      </c>
      <c r="C69" s="19" t="s">
        <v>257</v>
      </c>
      <c r="D69" s="47"/>
      <c r="E69" s="39">
        <v>0.44722222222222224</v>
      </c>
      <c r="F69" s="39">
        <f>E69+14/24</f>
        <v>1.0305555555555557</v>
      </c>
    </row>
    <row r="70" spans="1:6" ht="12.75">
      <c r="A70" s="17">
        <f>A55-A46</f>
        <v>111</v>
      </c>
      <c r="B70" s="17">
        <f>B46</f>
        <v>131.9784</v>
      </c>
      <c r="C70" t="s">
        <v>324</v>
      </c>
      <c r="D70" s="47" t="s">
        <v>286</v>
      </c>
      <c r="E70" s="39">
        <v>0.4576388888888889</v>
      </c>
      <c r="F70" s="39">
        <f>E70+14/24</f>
        <v>1.0409722222222222</v>
      </c>
    </row>
    <row r="71" spans="1:6" ht="12.75">
      <c r="A71" s="17">
        <f>A55-A45</f>
        <v>125</v>
      </c>
      <c r="B71" s="17">
        <f>B45</f>
        <v>163.6776</v>
      </c>
      <c r="C71" t="s">
        <v>323</v>
      </c>
      <c r="D71" s="47" t="s">
        <v>286</v>
      </c>
      <c r="E71" s="39">
        <v>0.46805555555555556</v>
      </c>
      <c r="F71" s="39">
        <f>E71+14/24</f>
        <v>1.051388888888889</v>
      </c>
    </row>
    <row r="72" spans="1:6" ht="12.75">
      <c r="A72" s="17">
        <f>A55-A44</f>
        <v>144</v>
      </c>
      <c r="B72" s="17">
        <f>B44</f>
        <v>246.888</v>
      </c>
      <c r="C72" t="s">
        <v>322</v>
      </c>
      <c r="D72" s="47" t="s">
        <v>286</v>
      </c>
      <c r="E72" s="39">
        <v>0.48125</v>
      </c>
      <c r="F72" s="39">
        <f>E72+14/24</f>
        <v>1.0645833333333334</v>
      </c>
    </row>
    <row r="73" spans="1:6" ht="12.75">
      <c r="A73" s="17">
        <f>A55-A43</f>
        <v>160</v>
      </c>
      <c r="B73" s="17">
        <f>B43</f>
        <v>306.6288</v>
      </c>
      <c r="C73" t="s">
        <v>321</v>
      </c>
      <c r="D73" s="47" t="s">
        <v>286</v>
      </c>
      <c r="E73" s="39">
        <v>0.49166666666666664</v>
      </c>
      <c r="F73" s="39">
        <f>E73+14/24</f>
        <v>1.075</v>
      </c>
    </row>
    <row r="74" spans="1:6" ht="12.75">
      <c r="A74" s="17">
        <f>A55-A42</f>
        <v>172</v>
      </c>
      <c r="B74" s="17">
        <f>B42</f>
        <v>358.44480000000004</v>
      </c>
      <c r="C74" t="s">
        <v>320</v>
      </c>
      <c r="D74" s="47" t="s">
        <v>286</v>
      </c>
      <c r="E74" s="39">
        <v>0.5006944444444444</v>
      </c>
      <c r="F74" s="39">
        <f>E74+14/24</f>
        <v>1.0840277777777778</v>
      </c>
    </row>
    <row r="75" spans="1:6" ht="12.75">
      <c r="A75" s="17">
        <f>A55-A41</f>
        <v>180</v>
      </c>
      <c r="B75" s="17">
        <f>B41</f>
        <v>416.9664</v>
      </c>
      <c r="C75" s="19" t="s">
        <v>256</v>
      </c>
      <c r="D75" s="19" t="s">
        <v>246</v>
      </c>
      <c r="E75" s="39">
        <v>0.50625</v>
      </c>
      <c r="F75" s="39">
        <f>E75+14/24</f>
        <v>1.0895833333333333</v>
      </c>
    </row>
    <row r="76" spans="1:6" ht="12.75">
      <c r="A76" s="17">
        <f>A55-A40</f>
        <v>180</v>
      </c>
      <c r="B76" s="17">
        <f>B40</f>
        <v>416.9664</v>
      </c>
      <c r="C76" s="19" t="s">
        <v>256</v>
      </c>
      <c r="D76" s="19" t="s">
        <v>241</v>
      </c>
      <c r="E76" s="39">
        <v>0.5131944444444444</v>
      </c>
      <c r="F76" s="39">
        <f>E76+14/24</f>
        <v>1.0965277777777778</v>
      </c>
    </row>
    <row r="77" spans="1:6" ht="12.75">
      <c r="A77" s="17">
        <f>A55-A39</f>
        <v>185</v>
      </c>
      <c r="B77" s="17">
        <f>B39</f>
        <v>436.47360000000003</v>
      </c>
      <c r="C77" t="s">
        <v>319</v>
      </c>
      <c r="D77" s="47" t="s">
        <v>286</v>
      </c>
      <c r="E77" s="39">
        <v>0.5201388888888889</v>
      </c>
      <c r="F77" s="39">
        <f>E77+14/24</f>
        <v>1.1034722222222224</v>
      </c>
    </row>
    <row r="78" spans="1:6" ht="12.75">
      <c r="A78" s="17">
        <f>A55-A38</f>
        <v>197</v>
      </c>
      <c r="B78" s="17">
        <f>B38</f>
        <v>527.9136</v>
      </c>
      <c r="C78" s="39" t="s">
        <v>255</v>
      </c>
      <c r="D78" s="47"/>
      <c r="E78" s="39">
        <v>0.5416666666666666</v>
      </c>
      <c r="F78" s="39">
        <f>E78+14/24</f>
        <v>1.125</v>
      </c>
    </row>
    <row r="79" spans="1:6" ht="12.75">
      <c r="A79" s="17">
        <f>A55-A37</f>
        <v>204</v>
      </c>
      <c r="B79" s="17">
        <f>B37</f>
        <v>576.072</v>
      </c>
      <c r="C79" t="s">
        <v>318</v>
      </c>
      <c r="D79" s="47" t="s">
        <v>286</v>
      </c>
      <c r="E79" s="39">
        <v>0.5486111111111112</v>
      </c>
      <c r="F79" s="39">
        <f>E79+14/24</f>
        <v>1.1319444444444446</v>
      </c>
    </row>
    <row r="80" spans="1:6" ht="12.75">
      <c r="A80" s="17">
        <f>A55-A36</f>
        <v>219</v>
      </c>
      <c r="B80" s="17">
        <f>B36</f>
        <v>596.4936</v>
      </c>
      <c r="C80" t="s">
        <v>317</v>
      </c>
      <c r="D80" s="47" t="s">
        <v>286</v>
      </c>
      <c r="E80" s="39">
        <v>0.5618055555555556</v>
      </c>
      <c r="F80" s="39">
        <f>E80+14/24</f>
        <v>1.145138888888889</v>
      </c>
    </row>
    <row r="81" spans="1:6" ht="12.75">
      <c r="A81" s="17">
        <f>A55-A35</f>
        <v>231</v>
      </c>
      <c r="B81" s="17">
        <f>B35</f>
        <v>626.6688</v>
      </c>
      <c r="C81" s="19" t="s">
        <v>316</v>
      </c>
      <c r="D81" s="47" t="s">
        <v>286</v>
      </c>
      <c r="E81" s="39">
        <v>0.5722222222222222</v>
      </c>
      <c r="F81" s="39">
        <f>E81+14/24</f>
        <v>1.1555555555555554</v>
      </c>
    </row>
    <row r="82" spans="1:6" ht="12.75">
      <c r="A82" s="17">
        <f>A55-A34</f>
        <v>243</v>
      </c>
      <c r="B82" s="17">
        <f>B34</f>
        <v>674.2176000000001</v>
      </c>
      <c r="C82" t="s">
        <v>254</v>
      </c>
      <c r="D82" s="47"/>
      <c r="E82" s="39">
        <v>0.5826388888888889</v>
      </c>
      <c r="F82" s="39">
        <f>E82+14/24</f>
        <v>1.1659722222222224</v>
      </c>
    </row>
    <row r="83" spans="1:6" ht="12.75">
      <c r="A83" s="17">
        <f>A55-A33</f>
        <v>254</v>
      </c>
      <c r="B83" s="17">
        <f>B33</f>
        <v>712.3176000000001</v>
      </c>
      <c r="C83" t="s">
        <v>125</v>
      </c>
      <c r="D83" s="47" t="s">
        <v>286</v>
      </c>
      <c r="E83" s="39">
        <v>0.5916666666666667</v>
      </c>
      <c r="F83" s="39">
        <f>E83+14/24</f>
        <v>1.175</v>
      </c>
    </row>
    <row r="84" spans="1:6" ht="12.75">
      <c r="A84" s="17">
        <f>A55-A32</f>
        <v>267</v>
      </c>
      <c r="B84" s="17">
        <f>B32</f>
        <v>648.3096</v>
      </c>
      <c r="C84" t="s">
        <v>253</v>
      </c>
      <c r="D84" s="47" t="s">
        <v>286</v>
      </c>
      <c r="E84" s="39">
        <v>0.6006944444444444</v>
      </c>
      <c r="F84" s="39">
        <f>E84+14/24</f>
        <v>1.1840277777777777</v>
      </c>
    </row>
    <row r="85" spans="1:6" ht="12.75">
      <c r="A85" s="17">
        <f>A55-A31</f>
        <v>279</v>
      </c>
      <c r="B85" s="17">
        <f>B31</f>
        <v>595.5792</v>
      </c>
      <c r="C85" t="s">
        <v>315</v>
      </c>
      <c r="D85" s="47" t="s">
        <v>286</v>
      </c>
      <c r="E85" s="39">
        <v>0.6076388888888888</v>
      </c>
      <c r="F85" s="39">
        <f>E85+14/24</f>
        <v>1.1909722222222223</v>
      </c>
    </row>
    <row r="86" spans="1:6" ht="12.75">
      <c r="A86" s="17">
        <f>A55-A30</f>
        <v>292</v>
      </c>
      <c r="B86" s="17">
        <f>B30</f>
        <v>443.78880000000004</v>
      </c>
      <c r="C86" t="s">
        <v>314</v>
      </c>
      <c r="D86" s="47" t="s">
        <v>286</v>
      </c>
      <c r="E86" s="39">
        <v>0.6208333333333333</v>
      </c>
      <c r="F86" s="39">
        <f>E86+14/24</f>
        <v>1.2041666666666666</v>
      </c>
    </row>
    <row r="87" spans="1:6" ht="12.75">
      <c r="A87" s="17">
        <f>A55-A29</f>
        <v>304</v>
      </c>
      <c r="B87" s="17">
        <f>B29</f>
        <v>514.5024000000001</v>
      </c>
      <c r="C87" s="19" t="s">
        <v>252</v>
      </c>
      <c r="D87" s="47" t="s">
        <v>286</v>
      </c>
      <c r="E87" s="39">
        <v>0.6347222222222222</v>
      </c>
      <c r="F87" s="39">
        <f>E87+14/24</f>
        <v>1.2180555555555554</v>
      </c>
    </row>
    <row r="88" spans="1:6" ht="12.75">
      <c r="A88" s="17">
        <f>A55-A28</f>
        <v>316</v>
      </c>
      <c r="B88" s="17">
        <f>B28</f>
        <v>390.144</v>
      </c>
      <c r="C88" s="19" t="s">
        <v>313</v>
      </c>
      <c r="D88" s="47" t="s">
        <v>286</v>
      </c>
      <c r="E88" s="39">
        <v>0.6451388888888889</v>
      </c>
      <c r="F88" s="39">
        <f>E88+14/24</f>
        <v>1.2284722222222224</v>
      </c>
    </row>
    <row r="89" spans="1:6" ht="12.75">
      <c r="A89" s="17">
        <f>A55-A27</f>
        <v>325</v>
      </c>
      <c r="B89" s="17">
        <f>B27</f>
        <v>267.9192</v>
      </c>
      <c r="C89" s="19" t="s">
        <v>312</v>
      </c>
      <c r="D89" s="47" t="s">
        <v>286</v>
      </c>
      <c r="E89" s="39">
        <v>0.6534722222222222</v>
      </c>
      <c r="F89" s="39">
        <f>E89+14/24</f>
        <v>1.2368055555555557</v>
      </c>
    </row>
    <row r="90" spans="1:6" ht="12.75">
      <c r="A90" s="17">
        <f>A55-A26</f>
        <v>333</v>
      </c>
      <c r="B90" s="17">
        <f>B26</f>
        <v>222.80880000000002</v>
      </c>
      <c r="C90" s="19" t="s">
        <v>311</v>
      </c>
      <c r="D90" s="47" t="s">
        <v>286</v>
      </c>
      <c r="E90" s="39">
        <v>0.6604166666666667</v>
      </c>
      <c r="F90" s="39">
        <f>E90+14/24</f>
        <v>1.24375</v>
      </c>
    </row>
    <row r="91" spans="1:6" ht="12.75">
      <c r="A91" s="17">
        <f>A55-A25</f>
        <v>342</v>
      </c>
      <c r="B91" s="17">
        <f>B25</f>
        <v>189.2808</v>
      </c>
      <c r="C91" s="19" t="s">
        <v>310</v>
      </c>
      <c r="D91" s="47" t="s">
        <v>286</v>
      </c>
      <c r="E91" s="39">
        <v>0.6673611111111111</v>
      </c>
      <c r="F91" s="39">
        <f>E91+14/24</f>
        <v>1.2506944444444446</v>
      </c>
    </row>
    <row r="92" spans="1:6" ht="12.75">
      <c r="A92" s="17">
        <f>A55-A24</f>
        <v>357</v>
      </c>
      <c r="B92" s="17">
        <f>B24</f>
        <v>166.4208</v>
      </c>
      <c r="C92" s="19" t="s">
        <v>250</v>
      </c>
      <c r="D92" s="47" t="s">
        <v>286</v>
      </c>
      <c r="E92" s="39">
        <v>0.6840277777777778</v>
      </c>
      <c r="F92" s="39">
        <f>E92+14/24</f>
        <v>1.2673611111111112</v>
      </c>
    </row>
    <row r="93" spans="1:6" ht="12.75">
      <c r="A93" s="17">
        <f>A55-A23</f>
        <v>377</v>
      </c>
      <c r="B93" s="17">
        <f>B23</f>
        <v>140.5128</v>
      </c>
      <c r="C93" s="19" t="s">
        <v>309</v>
      </c>
      <c r="D93" s="47" t="s">
        <v>286</v>
      </c>
      <c r="E93" s="39">
        <v>0.6979166666666666</v>
      </c>
      <c r="F93" s="39">
        <f>E93+14/24</f>
        <v>1.28125</v>
      </c>
    </row>
    <row r="94" spans="1:6" ht="12.75">
      <c r="A94" s="17">
        <f>A55-A22</f>
        <v>392</v>
      </c>
      <c r="B94" s="17">
        <f>B22</f>
        <v>107.89920000000001</v>
      </c>
      <c r="C94" s="19" t="s">
        <v>249</v>
      </c>
      <c r="D94" s="19"/>
      <c r="E94" s="39">
        <v>0.7097222222222223</v>
      </c>
      <c r="F94" s="39">
        <f>E94+14/24</f>
        <v>1.2930555555555556</v>
      </c>
    </row>
    <row r="95" spans="1:6" ht="12.75">
      <c r="A95" s="17">
        <f>A55-A21</f>
        <v>410</v>
      </c>
      <c r="B95" s="17">
        <f>B21</f>
        <v>99.9744</v>
      </c>
      <c r="C95" t="s">
        <v>307</v>
      </c>
      <c r="D95" s="47" t="s">
        <v>286</v>
      </c>
      <c r="E95" s="39">
        <v>0.7215277777777778</v>
      </c>
      <c r="F95" s="39">
        <f>E95+14/24</f>
        <v>1.3048611111111112</v>
      </c>
    </row>
    <row r="96" spans="1:7" ht="12.75">
      <c r="A96" s="17">
        <f>A55-A20</f>
        <v>420</v>
      </c>
      <c r="B96" s="17">
        <f>B20</f>
        <v>85.95360000000001</v>
      </c>
      <c r="C96" t="s">
        <v>305</v>
      </c>
      <c r="D96" s="47" t="s">
        <v>286</v>
      </c>
      <c r="E96" s="39">
        <v>0.7284722222222222</v>
      </c>
      <c r="F96" s="39">
        <f>E96+14/24</f>
        <v>1.3118055555555554</v>
      </c>
      <c r="G96" s="32"/>
    </row>
    <row r="97" spans="1:7" ht="12.75">
      <c r="A97" s="17">
        <f>A55-A19</f>
        <v>431</v>
      </c>
      <c r="B97" s="17">
        <f>B19</f>
        <v>74.9808</v>
      </c>
      <c r="C97" t="s">
        <v>303</v>
      </c>
      <c r="D97" s="47" t="s">
        <v>286</v>
      </c>
      <c r="E97" s="39">
        <v>0.7368055555555556</v>
      </c>
      <c r="F97" s="39">
        <f>E97+14/24</f>
        <v>1.320138888888889</v>
      </c>
      <c r="G97" s="32"/>
    </row>
    <row r="98" spans="1:7" ht="12.75">
      <c r="A98" s="17">
        <f>A55-A18</f>
        <v>445</v>
      </c>
      <c r="B98" s="17">
        <f>B18</f>
        <v>71.9328</v>
      </c>
      <c r="C98" t="s">
        <v>302</v>
      </c>
      <c r="D98" s="47" t="s">
        <v>286</v>
      </c>
      <c r="E98" s="39">
        <v>0.7465277777777778</v>
      </c>
      <c r="F98" s="39">
        <f>E98+14/24</f>
        <v>1.3298611111111112</v>
      </c>
      <c r="G98" s="32"/>
    </row>
    <row r="99" spans="1:7" ht="12.75">
      <c r="A99" s="17">
        <f>A55-A17</f>
        <v>450</v>
      </c>
      <c r="B99" s="17">
        <f>B17</f>
        <v>53.34</v>
      </c>
      <c r="C99" t="s">
        <v>301</v>
      </c>
      <c r="D99" s="47" t="s">
        <v>286</v>
      </c>
      <c r="E99" s="39">
        <v>0.75</v>
      </c>
      <c r="F99" s="39">
        <f>E99+14/24</f>
        <v>1.3333333333333335</v>
      </c>
      <c r="G99" s="32"/>
    </row>
    <row r="100" spans="1:7" ht="12.75">
      <c r="A100" s="17">
        <f>A55-A16</f>
        <v>458</v>
      </c>
      <c r="B100" s="17">
        <f>B16</f>
        <v>70.7136</v>
      </c>
      <c r="C100" t="s">
        <v>300</v>
      </c>
      <c r="D100" s="47" t="s">
        <v>286</v>
      </c>
      <c r="E100" s="39">
        <v>0.7569444444444444</v>
      </c>
      <c r="F100" s="39">
        <f>E100+14/24</f>
        <v>1.3402777777777777</v>
      </c>
      <c r="G100" s="32"/>
    </row>
    <row r="101" spans="1:7" ht="12.75">
      <c r="A101" s="17">
        <f>A55-A15</f>
        <v>466</v>
      </c>
      <c r="B101" s="17">
        <f>B15</f>
        <v>71.9328</v>
      </c>
      <c r="C101" t="s">
        <v>299</v>
      </c>
      <c r="D101" s="47" t="s">
        <v>286</v>
      </c>
      <c r="E101" s="39">
        <v>0.7618055555555555</v>
      </c>
      <c r="F101" s="39">
        <f>E101+14/24</f>
        <v>1.3451388888888889</v>
      </c>
      <c r="G101" s="32"/>
    </row>
    <row r="102" spans="1:7" ht="12.75">
      <c r="A102" s="17">
        <f>A55-A14</f>
        <v>475</v>
      </c>
      <c r="B102" s="17">
        <f>B14</f>
        <v>74.9808</v>
      </c>
      <c r="C102" t="s">
        <v>298</v>
      </c>
      <c r="D102" s="47" t="s">
        <v>286</v>
      </c>
      <c r="E102" s="39">
        <v>0.7694444444444445</v>
      </c>
      <c r="F102" s="39">
        <f>E102+14/24</f>
        <v>1.3527777777777779</v>
      </c>
      <c r="G102" s="34"/>
    </row>
    <row r="103" spans="1:7" ht="12.75">
      <c r="A103" s="17">
        <f>A55-A13</f>
        <v>489</v>
      </c>
      <c r="B103" s="17">
        <f>B13</f>
        <v>91.44</v>
      </c>
      <c r="C103" s="19" t="s">
        <v>297</v>
      </c>
      <c r="D103" s="47" t="s">
        <v>286</v>
      </c>
      <c r="E103" s="39">
        <v>0.7784722222222222</v>
      </c>
      <c r="F103" s="39">
        <f>E103+14/24</f>
        <v>1.3618055555555557</v>
      </c>
      <c r="G103" s="32"/>
    </row>
    <row r="104" spans="1:7" ht="12.75">
      <c r="A104" s="17">
        <f>A55-A12</f>
        <v>500</v>
      </c>
      <c r="B104" s="17">
        <f>B12</f>
        <v>103.3272</v>
      </c>
      <c r="C104" s="19" t="s">
        <v>248</v>
      </c>
      <c r="D104" s="47"/>
      <c r="E104" s="39">
        <v>0.7868055555555555</v>
      </c>
      <c r="F104" s="39">
        <f>E104+14/24</f>
        <v>1.370138888888889</v>
      </c>
      <c r="G104" s="32"/>
    </row>
    <row r="105" spans="1:7" ht="12.75">
      <c r="A105" s="17">
        <f>A55-A11</f>
        <v>514</v>
      </c>
      <c r="B105" s="17">
        <f>B11</f>
        <v>10.972800000000001</v>
      </c>
      <c r="C105" s="19" t="s">
        <v>247</v>
      </c>
      <c r="D105" s="47" t="s">
        <v>286</v>
      </c>
      <c r="E105" s="39">
        <v>0.8041666666666667</v>
      </c>
      <c r="F105" s="39">
        <f>E105+14/24</f>
        <v>1.3875000000000002</v>
      </c>
      <c r="G105" s="32"/>
    </row>
    <row r="106" spans="1:7" ht="12.75">
      <c r="A106" s="17">
        <f>A55-A10</f>
        <v>530</v>
      </c>
      <c r="B106" s="17">
        <f>B10</f>
        <v>15.24</v>
      </c>
      <c r="C106" s="19" t="s">
        <v>296</v>
      </c>
      <c r="D106" s="47" t="s">
        <v>286</v>
      </c>
      <c r="E106" s="39">
        <v>0.8152777777777778</v>
      </c>
      <c r="F106" s="39">
        <f>E106+14/24</f>
        <v>1.3986111111111112</v>
      </c>
      <c r="G106" s="34"/>
    </row>
    <row r="107" spans="1:7" ht="12.75">
      <c r="A107" s="17">
        <f>A55-A9</f>
        <v>538</v>
      </c>
      <c r="B107" s="17">
        <f>B9</f>
        <v>28.041600000000003</v>
      </c>
      <c r="C107" s="19" t="s">
        <v>295</v>
      </c>
      <c r="D107" s="47" t="s">
        <v>286</v>
      </c>
      <c r="E107" s="39">
        <v>0.8229166666666666</v>
      </c>
      <c r="F107" s="39">
        <f>E107+14/24</f>
        <v>1.40625</v>
      </c>
      <c r="G107" s="32"/>
    </row>
    <row r="108" spans="1:7" ht="12.75">
      <c r="A108" s="17">
        <f>A55-A8</f>
        <v>553</v>
      </c>
      <c r="B108" s="17">
        <f>B8</f>
        <v>60.0456</v>
      </c>
      <c r="C108" s="19" t="s">
        <v>294</v>
      </c>
      <c r="D108" s="47" t="s">
        <v>286</v>
      </c>
      <c r="E108" s="39">
        <v>0.8368055555555556</v>
      </c>
      <c r="F108" s="39">
        <f>E108+14/24</f>
        <v>1.4201388888888888</v>
      </c>
      <c r="G108" s="32"/>
    </row>
    <row r="109" spans="1:7" ht="12.75">
      <c r="A109" s="17">
        <f>A55-A7</f>
        <v>565</v>
      </c>
      <c r="B109" s="17">
        <f>B7</f>
        <v>67.6656</v>
      </c>
      <c r="C109" s="19" t="s">
        <v>293</v>
      </c>
      <c r="D109" s="47" t="s">
        <v>286</v>
      </c>
      <c r="E109" s="39">
        <v>0.8479166666666667</v>
      </c>
      <c r="F109" s="39">
        <f>E109+14/24</f>
        <v>1.43125</v>
      </c>
      <c r="G109" s="32"/>
    </row>
    <row r="110" spans="1:7" ht="12.75">
      <c r="A110" s="17">
        <f>A55-A6</f>
        <v>569</v>
      </c>
      <c r="B110" s="17">
        <f>B6</f>
        <v>12.192</v>
      </c>
      <c r="C110" s="19" t="s">
        <v>292</v>
      </c>
      <c r="D110" s="47" t="s">
        <v>286</v>
      </c>
      <c r="E110" s="39">
        <v>0.8513888888888889</v>
      </c>
      <c r="F110" s="39">
        <v>0.43680555555555556</v>
      </c>
      <c r="G110" s="32"/>
    </row>
    <row r="111" spans="1:7" ht="12.75">
      <c r="A111" s="17">
        <f>A55-A5</f>
        <v>573</v>
      </c>
      <c r="B111" s="17">
        <f>B5</f>
        <v>11.5824</v>
      </c>
      <c r="C111" s="19" t="s">
        <v>245</v>
      </c>
      <c r="D111" s="19" t="s">
        <v>246</v>
      </c>
      <c r="E111" s="39">
        <v>0.8611111111111112</v>
      </c>
      <c r="F111" s="39">
        <f>E111+14/24</f>
        <v>1.4444444444444446</v>
      </c>
      <c r="G111" s="32"/>
    </row>
    <row r="112" spans="3:7" ht="12.75">
      <c r="C112" s="19" t="s">
        <v>290</v>
      </c>
      <c r="D112" s="19"/>
      <c r="G112" s="18"/>
    </row>
    <row r="115" spans="1:4" ht="12.75">
      <c r="A115" s="50" t="s">
        <v>2</v>
      </c>
      <c r="B115" s="36" t="s">
        <v>222</v>
      </c>
      <c r="C115" s="42" t="s">
        <v>237</v>
      </c>
      <c r="D115" s="19"/>
    </row>
    <row r="116" spans="1:4" ht="12.75">
      <c r="A116" s="16"/>
      <c r="C116" s="42" t="s">
        <v>390</v>
      </c>
      <c r="D116" s="19"/>
    </row>
    <row r="117" spans="1:5" ht="12.75">
      <c r="A117" s="32">
        <v>0</v>
      </c>
      <c r="B117" s="17">
        <f>0.3048*38</f>
        <v>11.5824</v>
      </c>
      <c r="C117" s="19" t="s">
        <v>245</v>
      </c>
      <c r="D117" s="19" t="s">
        <v>241</v>
      </c>
      <c r="E117" t="s">
        <v>238</v>
      </c>
    </row>
    <row r="118" spans="1:6" ht="12.75">
      <c r="A118" s="46">
        <v>80.61</v>
      </c>
      <c r="B118" s="17">
        <f>0.3048*33</f>
        <v>10.0584</v>
      </c>
      <c r="C118" s="19" t="s">
        <v>270</v>
      </c>
      <c r="D118" s="19" t="s">
        <v>246</v>
      </c>
      <c r="F118" s="39"/>
    </row>
    <row r="119" spans="1:6" ht="12.75">
      <c r="A119" s="46">
        <v>80.61</v>
      </c>
      <c r="B119" s="17">
        <f>0.3048*33</f>
        <v>10.0584</v>
      </c>
      <c r="C119" s="19" t="s">
        <v>270</v>
      </c>
      <c r="D119" s="19" t="s">
        <v>241</v>
      </c>
      <c r="F119" s="40"/>
    </row>
    <row r="120" spans="1:6" ht="12.75">
      <c r="A120" s="46">
        <v>100.56</v>
      </c>
      <c r="B120" s="17">
        <f>0.3048*21</f>
        <v>6.4008</v>
      </c>
      <c r="C120" s="19" t="s">
        <v>281</v>
      </c>
      <c r="D120" s="19" t="s">
        <v>246</v>
      </c>
      <c r="F120" s="40"/>
    </row>
    <row r="121" spans="1:6" ht="12.75">
      <c r="A121" s="46"/>
      <c r="B121" s="17"/>
      <c r="C121" s="19"/>
      <c r="D121" s="19"/>
      <c r="F121" s="37"/>
    </row>
    <row r="122" spans="4:6" ht="12.75">
      <c r="D122" s="19"/>
      <c r="F122" s="40"/>
    </row>
    <row r="123" spans="1:6" ht="12.75">
      <c r="A123" s="50" t="s">
        <v>2</v>
      </c>
      <c r="B123" s="36" t="s">
        <v>222</v>
      </c>
      <c r="C123" s="42" t="s">
        <v>223</v>
      </c>
      <c r="D123" s="19"/>
      <c r="F123" s="40"/>
    </row>
    <row r="124" spans="1:4" ht="12.75">
      <c r="A124" s="16"/>
      <c r="C124" s="42" t="s">
        <v>390</v>
      </c>
      <c r="D124" s="19"/>
    </row>
    <row r="125" spans="1:5" ht="12.75">
      <c r="A125" s="32">
        <f>A120-A120</f>
        <v>0</v>
      </c>
      <c r="B125" s="17">
        <f>B120</f>
        <v>6.4008</v>
      </c>
      <c r="C125" s="19" t="s">
        <v>281</v>
      </c>
      <c r="D125" s="19" t="s">
        <v>241</v>
      </c>
      <c r="E125" t="s">
        <v>226</v>
      </c>
    </row>
    <row r="126" spans="1:4" ht="12.75">
      <c r="A126" s="32">
        <f>A120-A119</f>
        <v>19.950000000000003</v>
      </c>
      <c r="B126" s="17">
        <f>B119</f>
        <v>10.0584</v>
      </c>
      <c r="C126" s="19" t="s">
        <v>270</v>
      </c>
      <c r="D126" s="19" t="s">
        <v>246</v>
      </c>
    </row>
    <row r="127" spans="1:4" ht="12.75">
      <c r="A127" s="32">
        <f>A126</f>
        <v>19.950000000000003</v>
      </c>
      <c r="B127" s="48">
        <f>B126</f>
        <v>10.0584</v>
      </c>
      <c r="C127" s="19" t="s">
        <v>270</v>
      </c>
      <c r="D127" s="19" t="s">
        <v>241</v>
      </c>
    </row>
    <row r="128" spans="1:4" ht="12.75">
      <c r="A128" s="32">
        <f>A120-A117</f>
        <v>100.56</v>
      </c>
      <c r="B128" s="17">
        <f>B117</f>
        <v>11.5824</v>
      </c>
      <c r="C128" s="19" t="s">
        <v>245</v>
      </c>
      <c r="D128" s="19" t="s">
        <v>246</v>
      </c>
    </row>
    <row r="129" ht="12.75">
      <c r="C129" s="19"/>
    </row>
    <row r="130" ht="12.75">
      <c r="F130" s="36"/>
    </row>
    <row r="131" spans="1:6" ht="12.75">
      <c r="A131" s="3" t="s">
        <v>77</v>
      </c>
      <c r="C131" s="35" t="s">
        <v>221</v>
      </c>
      <c r="E131" s="36"/>
      <c r="F131" s="36"/>
    </row>
    <row r="132" spans="1:3" ht="12.75">
      <c r="A132" s="36" t="s">
        <v>2</v>
      </c>
      <c r="B132" s="36" t="s">
        <v>222</v>
      </c>
      <c r="C132" s="35" t="s">
        <v>223</v>
      </c>
    </row>
    <row r="133" spans="3:6" ht="12.75">
      <c r="C133" s="35" t="s">
        <v>266</v>
      </c>
      <c r="E133" s="38"/>
      <c r="F133" s="38"/>
    </row>
    <row r="134" spans="1:5" ht="12.75">
      <c r="A134" s="18">
        <v>0</v>
      </c>
      <c r="B134" s="18">
        <v>0</v>
      </c>
      <c r="C134" t="s">
        <v>225</v>
      </c>
      <c r="D134" t="s">
        <v>241</v>
      </c>
      <c r="E134" t="s">
        <v>226</v>
      </c>
    </row>
    <row r="135" spans="1:5" ht="12.75">
      <c r="A135" s="18">
        <v>2.73</v>
      </c>
      <c r="B135" s="18">
        <v>0</v>
      </c>
      <c r="C135" t="s">
        <v>227</v>
      </c>
      <c r="E135" s="39"/>
    </row>
    <row r="136" spans="1:5" ht="12.75">
      <c r="A136" s="18">
        <v>31.83</v>
      </c>
      <c r="B136" s="18">
        <f>0.3048*2885</f>
        <v>879.3480000000001</v>
      </c>
      <c r="C136" t="s">
        <v>228</v>
      </c>
      <c r="E136" s="40"/>
    </row>
    <row r="137" spans="1:5" ht="12.75">
      <c r="A137" s="18">
        <v>52.13</v>
      </c>
      <c r="B137" s="18">
        <f>0.3048*2916</f>
        <v>888.7968000000001</v>
      </c>
      <c r="C137" t="s">
        <v>229</v>
      </c>
      <c r="E137" s="40"/>
    </row>
    <row r="138" spans="1:5" ht="12.75">
      <c r="A138" s="18">
        <v>64.33</v>
      </c>
      <c r="B138" s="18">
        <f>0.3048*2158</f>
        <v>657.7584</v>
      </c>
      <c r="C138" t="s">
        <v>230</v>
      </c>
      <c r="E138" s="37"/>
    </row>
    <row r="139" spans="1:5" ht="12.75">
      <c r="A139" s="18">
        <v>107.63</v>
      </c>
      <c r="B139" s="18">
        <f>0.3048*2164</f>
        <v>659.5872</v>
      </c>
      <c r="C139" t="s">
        <v>116</v>
      </c>
      <c r="E139" s="40"/>
    </row>
    <row r="140" spans="1:5" ht="12.75">
      <c r="A140" s="18">
        <v>176.83</v>
      </c>
      <c r="B140" s="18">
        <f>0.3048*2079</f>
        <v>633.6792</v>
      </c>
      <c r="C140" t="s">
        <v>231</v>
      </c>
      <c r="D140" t="s">
        <v>246</v>
      </c>
      <c r="E140" s="40"/>
    </row>
    <row r="141" ht="12.75">
      <c r="C141" t="s">
        <v>232</v>
      </c>
    </row>
    <row r="142" ht="12.75">
      <c r="C142" t="s">
        <v>233</v>
      </c>
    </row>
    <row r="143" ht="12.75">
      <c r="C143" t="s">
        <v>234</v>
      </c>
    </row>
    <row r="144" ht="12.75">
      <c r="C144" t="s">
        <v>235</v>
      </c>
    </row>
    <row r="147" spans="3:5" ht="12.75">
      <c r="C147" s="35" t="s">
        <v>221</v>
      </c>
      <c r="E147" s="36"/>
    </row>
    <row r="148" spans="3:5" ht="12.75">
      <c r="C148" s="35"/>
      <c r="E148" s="36"/>
    </row>
    <row r="149" spans="1:3" ht="12.75">
      <c r="A149" s="36" t="s">
        <v>2</v>
      </c>
      <c r="B149" s="36" t="s">
        <v>222</v>
      </c>
      <c r="C149" s="35" t="s">
        <v>237</v>
      </c>
    </row>
    <row r="150" spans="3:5" ht="12.75">
      <c r="C150" s="35" t="s">
        <v>266</v>
      </c>
      <c r="E150" s="38"/>
    </row>
    <row r="151" spans="1:5" ht="12.75">
      <c r="A151" s="18">
        <f>A140-A140</f>
        <v>0</v>
      </c>
      <c r="B151" s="18">
        <f>0.3048*2079</f>
        <v>633.6792</v>
      </c>
      <c r="C151" t="s">
        <v>231</v>
      </c>
      <c r="D151" t="s">
        <v>241</v>
      </c>
      <c r="E151" t="s">
        <v>238</v>
      </c>
    </row>
    <row r="152" spans="1:5" ht="12.75">
      <c r="A152" s="34">
        <f>A140-A139</f>
        <v>69.20000000000002</v>
      </c>
      <c r="B152" s="18">
        <f>0.3048*2164</f>
        <v>659.5872</v>
      </c>
      <c r="C152" t="s">
        <v>116</v>
      </c>
      <c r="E152" s="40"/>
    </row>
    <row r="153" spans="1:5" ht="12.75">
      <c r="A153" s="34">
        <f>A140-A138</f>
        <v>112.50000000000001</v>
      </c>
      <c r="B153" s="18">
        <f>0.3048*2158</f>
        <v>657.7584</v>
      </c>
      <c r="C153" t="s">
        <v>230</v>
      </c>
      <c r="E153" s="40"/>
    </row>
    <row r="154" spans="1:5" ht="12.75">
      <c r="A154" s="34">
        <f>A140-A137</f>
        <v>124.70000000000002</v>
      </c>
      <c r="B154" s="18">
        <f>0.3048*2916</f>
        <v>888.7968000000001</v>
      </c>
      <c r="C154" t="s">
        <v>229</v>
      </c>
      <c r="E154" s="40"/>
    </row>
    <row r="155" spans="1:5" ht="12.75">
      <c r="A155" s="34">
        <f>A140-A136</f>
        <v>145</v>
      </c>
      <c r="B155" s="18">
        <f>0.3048*2885</f>
        <v>879.3480000000001</v>
      </c>
      <c r="C155" t="s">
        <v>228</v>
      </c>
      <c r="E155" s="40"/>
    </row>
    <row r="156" spans="1:5" ht="12.75">
      <c r="A156" s="34">
        <f>A140-A135</f>
        <v>174.10000000000002</v>
      </c>
      <c r="B156" s="18">
        <v>0</v>
      </c>
      <c r="C156" t="s">
        <v>227</v>
      </c>
      <c r="D156" t="s">
        <v>246</v>
      </c>
      <c r="E156" s="39"/>
    </row>
    <row r="157" spans="1:5" ht="12.75">
      <c r="A157" s="34">
        <f>A140-A134</f>
        <v>176.83</v>
      </c>
      <c r="B157" s="18">
        <v>0</v>
      </c>
      <c r="C157" t="s">
        <v>225</v>
      </c>
      <c r="D157" t="s">
        <v>246</v>
      </c>
      <c r="E157" s="40"/>
    </row>
    <row r="158" spans="3:5" ht="12.75">
      <c r="C158" t="s">
        <v>239</v>
      </c>
      <c r="E158" s="12"/>
    </row>
    <row r="159" ht="12.75">
      <c r="C159" t="s">
        <v>233</v>
      </c>
    </row>
    <row r="160" ht="12.75">
      <c r="C160" t="s">
        <v>234</v>
      </c>
    </row>
    <row r="161" ht="12.75">
      <c r="C161"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1.xml><?xml version="1.0" encoding="utf-8"?>
<worksheet xmlns="http://schemas.openxmlformats.org/spreadsheetml/2006/main" xmlns:r="http://schemas.openxmlformats.org/officeDocument/2006/relationships">
  <dimension ref="A1:L170"/>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2.7109375" style="0" customWidth="1"/>
    <col min="5" max="16384" width="11.57421875" style="0" customWidth="1"/>
  </cols>
  <sheetData>
    <row r="1" spans="1:5" ht="12.75">
      <c r="A1" s="3">
        <v>1981</v>
      </c>
      <c r="C1" s="3" t="s">
        <v>34</v>
      </c>
      <c r="E1" s="41" t="s">
        <v>345</v>
      </c>
    </row>
    <row r="2" spans="1:5" ht="12.75">
      <c r="A2" s="50" t="s">
        <v>2</v>
      </c>
      <c r="B2" s="36" t="s">
        <v>222</v>
      </c>
      <c r="C2" s="42" t="s">
        <v>223</v>
      </c>
      <c r="D2" s="19"/>
      <c r="E2" s="41" t="s">
        <v>57</v>
      </c>
    </row>
    <row r="3" spans="1:5" ht="12.75">
      <c r="A3" s="16"/>
      <c r="C3" s="42" t="s">
        <v>391</v>
      </c>
      <c r="D3" s="19"/>
      <c r="E3">
        <v>6</v>
      </c>
    </row>
    <row r="4" spans="1:5" ht="12.75">
      <c r="A4" s="16"/>
      <c r="C4" s="19"/>
      <c r="D4" s="19"/>
      <c r="E4" s="43" t="s">
        <v>15</v>
      </c>
    </row>
    <row r="5" spans="1:5" ht="12.75">
      <c r="A5">
        <v>0</v>
      </c>
      <c r="B5" s="17">
        <f>0.3048*38</f>
        <v>11.5824</v>
      </c>
      <c r="C5" s="19" t="s">
        <v>245</v>
      </c>
      <c r="D5" s="19" t="s">
        <v>241</v>
      </c>
      <c r="E5" s="39">
        <v>0.3958333333333333</v>
      </c>
    </row>
    <row r="6" spans="1:5" ht="12.75">
      <c r="A6">
        <v>4</v>
      </c>
      <c r="B6" s="17">
        <f>0.3048*40</f>
        <v>12.192</v>
      </c>
      <c r="C6" s="19" t="s">
        <v>292</v>
      </c>
      <c r="D6" s="47" t="s">
        <v>286</v>
      </c>
      <c r="E6" s="36" t="s">
        <v>286</v>
      </c>
    </row>
    <row r="7" spans="1:5" ht="12.75">
      <c r="A7">
        <v>35</v>
      </c>
      <c r="B7" s="17">
        <f>0.3048*92</f>
        <v>28.041600000000003</v>
      </c>
      <c r="C7" s="19" t="s">
        <v>295</v>
      </c>
      <c r="D7" s="47" t="s">
        <v>286</v>
      </c>
      <c r="E7" s="39">
        <v>0.42916666666666664</v>
      </c>
    </row>
    <row r="8" spans="1:5" ht="12.75">
      <c r="A8">
        <v>43</v>
      </c>
      <c r="B8" s="17">
        <f>0.3048*50</f>
        <v>15.24</v>
      </c>
      <c r="C8" s="19" t="s">
        <v>296</v>
      </c>
      <c r="D8" s="47" t="s">
        <v>286</v>
      </c>
      <c r="E8" s="39">
        <v>0.43472222222222223</v>
      </c>
    </row>
    <row r="9" spans="1:5" ht="12.75">
      <c r="A9">
        <v>59</v>
      </c>
      <c r="B9" s="17">
        <f>0.3048*36</f>
        <v>10.972800000000001</v>
      </c>
      <c r="C9" s="19" t="s">
        <v>247</v>
      </c>
      <c r="D9" s="47" t="s">
        <v>286</v>
      </c>
      <c r="E9" s="39">
        <v>0.4444444444444444</v>
      </c>
    </row>
    <row r="10" spans="1:5" ht="12.75">
      <c r="A10">
        <v>73</v>
      </c>
      <c r="B10" s="17">
        <f>0.3048*339</f>
        <v>103.3272</v>
      </c>
      <c r="C10" s="19" t="s">
        <v>248</v>
      </c>
      <c r="D10" s="47"/>
      <c r="E10" s="39">
        <v>0.4583333333333333</v>
      </c>
    </row>
    <row r="11" spans="1:11" ht="12.75">
      <c r="A11">
        <v>83</v>
      </c>
      <c r="C11" s="12" t="s">
        <v>385</v>
      </c>
      <c r="D11">
        <v>26</v>
      </c>
      <c r="E11" s="36" t="s">
        <v>361</v>
      </c>
      <c r="K11" s="36"/>
    </row>
    <row r="12" spans="1:11" ht="12.75">
      <c r="A12">
        <v>98</v>
      </c>
      <c r="B12" s="17">
        <f>0.3048*246</f>
        <v>74.9808</v>
      </c>
      <c r="C12" s="12" t="s">
        <v>298</v>
      </c>
      <c r="D12" s="47" t="s">
        <v>286</v>
      </c>
      <c r="E12" s="39">
        <v>0.4736111111111111</v>
      </c>
      <c r="K12" s="36"/>
    </row>
    <row r="13" spans="1:11" ht="12.75">
      <c r="A13">
        <v>115</v>
      </c>
      <c r="B13" s="17">
        <f>0.3048*232</f>
        <v>70.7136</v>
      </c>
      <c r="C13" s="12" t="s">
        <v>300</v>
      </c>
      <c r="D13" s="47" t="s">
        <v>286</v>
      </c>
      <c r="E13" s="39">
        <v>0.4840277777777778</v>
      </c>
      <c r="K13" s="36"/>
    </row>
    <row r="14" spans="1:11" ht="12.75">
      <c r="A14">
        <v>123</v>
      </c>
      <c r="B14" s="17">
        <f>0.3048*175</f>
        <v>53.34</v>
      </c>
      <c r="C14" s="12" t="s">
        <v>301</v>
      </c>
      <c r="D14">
        <v>26</v>
      </c>
      <c r="E14" s="36" t="s">
        <v>361</v>
      </c>
      <c r="K14" s="36"/>
    </row>
    <row r="15" spans="1:11" ht="12.75">
      <c r="A15">
        <v>128</v>
      </c>
      <c r="B15" s="17">
        <f>0.3048*236</f>
        <v>71.9328</v>
      </c>
      <c r="C15" s="12" t="s">
        <v>302</v>
      </c>
      <c r="D15" s="47" t="s">
        <v>286</v>
      </c>
      <c r="E15" s="39">
        <v>0.49166666666666664</v>
      </c>
      <c r="K15" s="36"/>
    </row>
    <row r="16" spans="1:11" ht="12.75">
      <c r="A16">
        <v>142</v>
      </c>
      <c r="B16" s="17">
        <f>0.3048*246</f>
        <v>74.9808</v>
      </c>
      <c r="C16" s="12" t="s">
        <v>303</v>
      </c>
      <c r="D16" s="47" t="s">
        <v>286</v>
      </c>
      <c r="E16" s="39">
        <v>0.49930555555555556</v>
      </c>
      <c r="K16" s="36"/>
    </row>
    <row r="17" spans="1:11" ht="12.75">
      <c r="A17">
        <v>153</v>
      </c>
      <c r="B17" s="17">
        <f>0.3048*282</f>
        <v>85.95360000000001</v>
      </c>
      <c r="C17" s="12" t="s">
        <v>305</v>
      </c>
      <c r="D17" s="47" t="s">
        <v>286</v>
      </c>
      <c r="E17" s="39">
        <v>0.50625</v>
      </c>
      <c r="K17" s="36"/>
    </row>
    <row r="18" spans="1:11" ht="12.75">
      <c r="A18">
        <v>163</v>
      </c>
      <c r="B18" s="17">
        <f>0.3048*328</f>
        <v>99.9744</v>
      </c>
      <c r="C18" s="12" t="s">
        <v>307</v>
      </c>
      <c r="D18" s="47" t="s">
        <v>286</v>
      </c>
      <c r="E18" s="39">
        <v>0.5125</v>
      </c>
      <c r="K18" s="36"/>
    </row>
    <row r="19" spans="1:11" ht="12.75">
      <c r="A19">
        <v>172</v>
      </c>
      <c r="B19" s="17">
        <f>0.3048*310</f>
        <v>94.488</v>
      </c>
      <c r="C19" s="12" t="s">
        <v>308</v>
      </c>
      <c r="D19">
        <v>26</v>
      </c>
      <c r="E19" s="36" t="s">
        <v>361</v>
      </c>
      <c r="K19" s="36"/>
    </row>
    <row r="20" spans="1:11" ht="12.75">
      <c r="A20">
        <v>181</v>
      </c>
      <c r="B20" s="17">
        <f>0.3048*354</f>
        <v>107.89920000000001</v>
      </c>
      <c r="C20" s="19" t="s">
        <v>249</v>
      </c>
      <c r="D20" s="19"/>
      <c r="E20" s="39">
        <v>0.5236111111111111</v>
      </c>
      <c r="K20" s="36"/>
    </row>
    <row r="21" spans="1:11" ht="12.75">
      <c r="A21">
        <v>189</v>
      </c>
      <c r="C21" s="12" t="s">
        <v>386</v>
      </c>
      <c r="D21">
        <v>26</v>
      </c>
      <c r="E21" s="36" t="s">
        <v>361</v>
      </c>
      <c r="K21" s="36"/>
    </row>
    <row r="22" spans="1:11" ht="12.75">
      <c r="A22">
        <v>192</v>
      </c>
      <c r="C22" s="12" t="s">
        <v>363</v>
      </c>
      <c r="D22">
        <v>26</v>
      </c>
      <c r="E22" s="36" t="s">
        <v>361</v>
      </c>
      <c r="K22" s="36"/>
    </row>
    <row r="23" spans="1:5" ht="12.75">
      <c r="A23">
        <v>196</v>
      </c>
      <c r="B23" s="17">
        <f>0.3048*461</f>
        <v>140.5128</v>
      </c>
      <c r="C23" s="19" t="s">
        <v>309</v>
      </c>
      <c r="D23" s="47" t="s">
        <v>286</v>
      </c>
      <c r="E23" s="39">
        <v>0.5333333333333333</v>
      </c>
    </row>
    <row r="24" spans="1:5" ht="12.75">
      <c r="A24">
        <v>200</v>
      </c>
      <c r="C24" s="12" t="s">
        <v>364</v>
      </c>
      <c r="D24">
        <v>26</v>
      </c>
      <c r="E24" s="36" t="s">
        <v>361</v>
      </c>
    </row>
    <row r="25" spans="1:5" ht="12.75">
      <c r="A25">
        <v>201</v>
      </c>
      <c r="C25" s="12" t="s">
        <v>365</v>
      </c>
      <c r="D25">
        <v>26</v>
      </c>
      <c r="E25" s="36" t="s">
        <v>361</v>
      </c>
    </row>
    <row r="26" spans="1:5" ht="12.75">
      <c r="A26">
        <v>205</v>
      </c>
      <c r="C26" s="12" t="s">
        <v>387</v>
      </c>
      <c r="D26">
        <v>26</v>
      </c>
      <c r="E26" s="36" t="s">
        <v>361</v>
      </c>
    </row>
    <row r="27" spans="1:5" ht="12.75">
      <c r="A27">
        <v>210</v>
      </c>
      <c r="C27" s="12" t="s">
        <v>367</v>
      </c>
      <c r="D27">
        <v>26</v>
      </c>
      <c r="E27" s="36" t="s">
        <v>361</v>
      </c>
    </row>
    <row r="28" spans="1:5" ht="12.75">
      <c r="A28">
        <v>216</v>
      </c>
      <c r="B28" s="17">
        <f>0.3048*546</f>
        <v>166.4208</v>
      </c>
      <c r="C28" s="19" t="s">
        <v>250</v>
      </c>
      <c r="D28" s="47" t="s">
        <v>286</v>
      </c>
      <c r="E28" s="39">
        <v>0.5458333333333333</v>
      </c>
    </row>
    <row r="29" spans="1:5" ht="12.75">
      <c r="A29">
        <v>230</v>
      </c>
      <c r="B29" s="17"/>
      <c r="C29" s="19" t="s">
        <v>388</v>
      </c>
      <c r="D29">
        <v>26</v>
      </c>
      <c r="E29" s="36" t="s">
        <v>361</v>
      </c>
    </row>
    <row r="30" spans="1:5" ht="12.75">
      <c r="A30">
        <v>231</v>
      </c>
      <c r="B30" s="17">
        <f>0.3048*621</f>
        <v>189.2808</v>
      </c>
      <c r="C30" s="19" t="s">
        <v>310</v>
      </c>
      <c r="D30" s="47" t="s">
        <v>286</v>
      </c>
      <c r="E30" s="39">
        <v>0.5569444444444445</v>
      </c>
    </row>
    <row r="31" spans="1:5" ht="12.75">
      <c r="A31">
        <v>240</v>
      </c>
      <c r="B31" s="17">
        <f>0.3048*731</f>
        <v>222.80880000000002</v>
      </c>
      <c r="C31" s="19" t="s">
        <v>311</v>
      </c>
      <c r="D31" s="47" t="s">
        <v>286</v>
      </c>
      <c r="E31" s="39">
        <v>0.5638888888888889</v>
      </c>
    </row>
    <row r="32" spans="1:5" ht="12.75">
      <c r="A32">
        <v>244</v>
      </c>
      <c r="C32" s="12" t="s">
        <v>368</v>
      </c>
      <c r="D32">
        <v>26</v>
      </c>
      <c r="E32" s="36" t="s">
        <v>361</v>
      </c>
    </row>
    <row r="33" spans="1:5" ht="12.75">
      <c r="A33">
        <v>248</v>
      </c>
      <c r="B33" s="17">
        <f>0.3048*879</f>
        <v>267.9192</v>
      </c>
      <c r="C33" s="19" t="s">
        <v>312</v>
      </c>
      <c r="D33" s="47" t="s">
        <v>286</v>
      </c>
      <c r="E33" s="39">
        <v>0.5701388888888889</v>
      </c>
    </row>
    <row r="34" spans="1:5" ht="12.75">
      <c r="A34">
        <v>249</v>
      </c>
      <c r="C34" s="12" t="s">
        <v>369</v>
      </c>
      <c r="D34">
        <v>26</v>
      </c>
      <c r="E34" s="36" t="s">
        <v>361</v>
      </c>
    </row>
    <row r="35" spans="1:5" ht="12.75">
      <c r="A35">
        <v>251</v>
      </c>
      <c r="C35" s="12" t="s">
        <v>370</v>
      </c>
      <c r="D35">
        <v>26</v>
      </c>
      <c r="E35" s="36" t="s">
        <v>361</v>
      </c>
    </row>
    <row r="36" spans="1:5" ht="12.75">
      <c r="A36">
        <v>257</v>
      </c>
      <c r="B36" s="17">
        <f>0.3048*1280</f>
        <v>390.144</v>
      </c>
      <c r="C36" s="19" t="s">
        <v>313</v>
      </c>
      <c r="D36" s="47" t="s">
        <v>286</v>
      </c>
      <c r="E36" s="39">
        <v>0.5784722222222223</v>
      </c>
    </row>
    <row r="37" spans="1:5" ht="12.75">
      <c r="A37">
        <v>259</v>
      </c>
      <c r="C37" s="12" t="s">
        <v>371</v>
      </c>
      <c r="D37">
        <v>26</v>
      </c>
      <c r="E37" s="36" t="s">
        <v>361</v>
      </c>
    </row>
    <row r="38" spans="1:5" ht="12.75">
      <c r="A38">
        <v>269</v>
      </c>
      <c r="B38" s="17">
        <f>0.3048*1688</f>
        <v>514.5024000000001</v>
      </c>
      <c r="C38" s="19" t="s">
        <v>252</v>
      </c>
      <c r="D38" s="47" t="s">
        <v>286</v>
      </c>
      <c r="E38" s="39">
        <v>0.5888888888888889</v>
      </c>
    </row>
    <row r="39" spans="1:5" ht="12.75">
      <c r="A39">
        <v>281</v>
      </c>
      <c r="B39" s="17">
        <f>0.3048*1456</f>
        <v>443.78880000000004</v>
      </c>
      <c r="C39" s="12" t="s">
        <v>314</v>
      </c>
      <c r="D39" s="47" t="s">
        <v>286</v>
      </c>
      <c r="E39" s="39">
        <v>0.6020833333333333</v>
      </c>
    </row>
    <row r="40" spans="1:5" ht="12.75">
      <c r="A40">
        <v>294</v>
      </c>
      <c r="B40" s="17">
        <f>0.3048*1954</f>
        <v>595.5792</v>
      </c>
      <c r="C40" s="12" t="s">
        <v>315</v>
      </c>
      <c r="D40" s="47" t="s">
        <v>286</v>
      </c>
      <c r="E40" s="39">
        <v>0.6145833333333334</v>
      </c>
    </row>
    <row r="41" spans="1:5" ht="12.75">
      <c r="A41">
        <v>306</v>
      </c>
      <c r="B41" s="17">
        <f>0.3048*2127</f>
        <v>648.3096</v>
      </c>
      <c r="C41" s="12" t="s">
        <v>253</v>
      </c>
      <c r="D41" s="47" t="s">
        <v>286</v>
      </c>
      <c r="E41" s="39">
        <v>0.6215277777777778</v>
      </c>
    </row>
    <row r="42" spans="1:5" ht="12.75">
      <c r="A42">
        <v>319</v>
      </c>
      <c r="B42" s="17">
        <f>0.3048*2337</f>
        <v>712.3176000000001</v>
      </c>
      <c r="C42" s="12" t="s">
        <v>125</v>
      </c>
      <c r="D42">
        <v>26</v>
      </c>
      <c r="E42" s="39">
        <v>0.6298611111111111</v>
      </c>
    </row>
    <row r="43" spans="1:5" ht="12.75">
      <c r="A43">
        <v>330</v>
      </c>
      <c r="B43" s="17">
        <f>0.3048*2212</f>
        <v>674.2176000000001</v>
      </c>
      <c r="C43" s="12" t="s">
        <v>254</v>
      </c>
      <c r="D43" s="47" t="s">
        <v>286</v>
      </c>
      <c r="E43" s="39">
        <v>0.6375</v>
      </c>
    </row>
    <row r="44" spans="1:5" ht="12.75">
      <c r="A44">
        <v>342</v>
      </c>
      <c r="B44" s="17">
        <f>0.3048*2056</f>
        <v>626.6688</v>
      </c>
      <c r="C44" s="19" t="s">
        <v>316</v>
      </c>
      <c r="D44">
        <v>26</v>
      </c>
      <c r="E44" s="39">
        <v>0.6472222222222223</v>
      </c>
    </row>
    <row r="45" spans="1:5" ht="12.75">
      <c r="A45">
        <v>354</v>
      </c>
      <c r="B45" s="17">
        <f>0.3048*1957</f>
        <v>596.4936</v>
      </c>
      <c r="C45" s="12" t="s">
        <v>317</v>
      </c>
      <c r="D45" s="47" t="s">
        <v>286</v>
      </c>
      <c r="E45" s="39">
        <v>0.6576388888888889</v>
      </c>
    </row>
    <row r="46" spans="1:5" ht="12.75">
      <c r="A46">
        <v>367</v>
      </c>
      <c r="C46" s="12" t="s">
        <v>372</v>
      </c>
      <c r="D46">
        <v>26</v>
      </c>
      <c r="E46" s="36" t="s">
        <v>361</v>
      </c>
    </row>
    <row r="47" spans="1:5" ht="12.75">
      <c r="A47">
        <v>376</v>
      </c>
      <c r="B47" s="17">
        <f>0.3048*1732</f>
        <v>527.9136</v>
      </c>
      <c r="C47" s="39" t="s">
        <v>255</v>
      </c>
      <c r="D47" s="47"/>
      <c r="E47" s="39">
        <v>0.6847222222222222</v>
      </c>
    </row>
    <row r="48" spans="1:5" ht="12.75">
      <c r="A48">
        <v>388</v>
      </c>
      <c r="B48" s="17">
        <f>0.3048*1432</f>
        <v>436.47360000000003</v>
      </c>
      <c r="C48" s="12" t="s">
        <v>319</v>
      </c>
      <c r="D48" s="47" t="s">
        <v>286</v>
      </c>
      <c r="E48" s="39">
        <v>0.7013888888888888</v>
      </c>
    </row>
    <row r="49" spans="1:5" ht="12.75">
      <c r="A49">
        <v>393</v>
      </c>
      <c r="B49" s="17">
        <f>0.3048*1368</f>
        <v>416.9664</v>
      </c>
      <c r="C49" s="19" t="s">
        <v>256</v>
      </c>
      <c r="D49" s="19" t="s">
        <v>246</v>
      </c>
      <c r="E49" s="39">
        <v>0.7069444444444445</v>
      </c>
    </row>
    <row r="50" spans="1:5" ht="12.75">
      <c r="A50">
        <v>393</v>
      </c>
      <c r="B50" s="17">
        <f>0.3048*1368</f>
        <v>416.9664</v>
      </c>
      <c r="C50" s="19" t="s">
        <v>256</v>
      </c>
      <c r="D50" s="19" t="s">
        <v>241</v>
      </c>
      <c r="E50" s="39">
        <v>0.7090277777777778</v>
      </c>
    </row>
    <row r="51" spans="1:5" ht="12.75">
      <c r="A51">
        <v>413</v>
      </c>
      <c r="B51" s="17">
        <f>0.3048*1006</f>
        <v>306.6288</v>
      </c>
      <c r="C51" s="12" t="s">
        <v>321</v>
      </c>
      <c r="D51">
        <v>26</v>
      </c>
      <c r="E51" s="39">
        <v>0.7229166666666667</v>
      </c>
    </row>
    <row r="52" spans="1:5" ht="12.75">
      <c r="A52">
        <v>429</v>
      </c>
      <c r="B52" s="17">
        <f>0.3048*810</f>
        <v>246.888</v>
      </c>
      <c r="C52" s="12" t="s">
        <v>322</v>
      </c>
      <c r="D52">
        <v>26</v>
      </c>
      <c r="E52" s="39">
        <v>0.7326388888888888</v>
      </c>
    </row>
    <row r="53" spans="1:5" ht="12.75">
      <c r="A53">
        <v>448</v>
      </c>
      <c r="B53" s="17">
        <f>0.3048*537</f>
        <v>163.6776</v>
      </c>
      <c r="C53" s="12" t="s">
        <v>323</v>
      </c>
      <c r="D53" s="47" t="s">
        <v>286</v>
      </c>
      <c r="E53" s="39">
        <v>0.7430555555555556</v>
      </c>
    </row>
    <row r="54" spans="1:5" ht="12.75">
      <c r="A54">
        <v>479</v>
      </c>
      <c r="B54" s="17">
        <f>0.3048*362</f>
        <v>110.33760000000001</v>
      </c>
      <c r="C54" s="19" t="s">
        <v>257</v>
      </c>
      <c r="D54" s="47"/>
      <c r="E54" s="39">
        <v>0.7652777777777777</v>
      </c>
    </row>
    <row r="55" spans="1:5" ht="12.75">
      <c r="A55">
        <v>511</v>
      </c>
      <c r="B55" s="17">
        <f>0.3048*368</f>
        <v>112.16640000000001</v>
      </c>
      <c r="C55" s="19" t="s">
        <v>327</v>
      </c>
      <c r="D55" s="47" t="s">
        <v>286</v>
      </c>
      <c r="E55" s="39">
        <v>0.7875</v>
      </c>
    </row>
    <row r="56" spans="1:5" ht="12.75">
      <c r="A56">
        <v>523</v>
      </c>
      <c r="B56" s="17">
        <f>0.3048*406</f>
        <v>123.7488</v>
      </c>
      <c r="C56" s="19" t="s">
        <v>328</v>
      </c>
      <c r="D56" s="47" t="s">
        <v>286</v>
      </c>
      <c r="E56" s="39">
        <v>0.7951388888888888</v>
      </c>
    </row>
    <row r="57" spans="1:5" ht="12.75">
      <c r="A57">
        <v>541</v>
      </c>
      <c r="B57" s="17">
        <f>0.3048*465</f>
        <v>141.732</v>
      </c>
      <c r="C57" s="19" t="s">
        <v>329</v>
      </c>
      <c r="D57" s="47" t="s">
        <v>286</v>
      </c>
      <c r="E57" s="39">
        <v>0.80625</v>
      </c>
    </row>
    <row r="58" spans="1:5" ht="12.75">
      <c r="A58">
        <v>573</v>
      </c>
      <c r="B58" s="17">
        <f>0.3048*448</f>
        <v>136.5504</v>
      </c>
      <c r="C58" s="19" t="s">
        <v>258</v>
      </c>
      <c r="D58" s="19" t="s">
        <v>246</v>
      </c>
      <c r="E58" s="39">
        <v>0.8333333333333334</v>
      </c>
    </row>
    <row r="59" spans="1:3" ht="12.75">
      <c r="A59" s="16"/>
      <c r="C59" s="19" t="s">
        <v>290</v>
      </c>
    </row>
    <row r="60" ht="12.75">
      <c r="C60" t="s">
        <v>374</v>
      </c>
    </row>
    <row r="61" ht="12.75">
      <c r="C61" s="19" t="s">
        <v>375</v>
      </c>
    </row>
    <row r="62" ht="12.75">
      <c r="E62" s="41" t="s">
        <v>345</v>
      </c>
    </row>
    <row r="63" spans="1:5" ht="12.75">
      <c r="A63" s="50" t="s">
        <v>2</v>
      </c>
      <c r="B63" s="36" t="s">
        <v>222</v>
      </c>
      <c r="C63" s="42" t="s">
        <v>237</v>
      </c>
      <c r="D63" s="19"/>
      <c r="E63" s="41" t="s">
        <v>57</v>
      </c>
    </row>
    <row r="64" spans="1:5" ht="12.75">
      <c r="A64" s="16"/>
      <c r="C64" s="42" t="s">
        <v>391</v>
      </c>
      <c r="D64" s="19"/>
      <c r="E64">
        <v>5</v>
      </c>
    </row>
    <row r="65" spans="1:5" ht="12.75">
      <c r="A65" s="16"/>
      <c r="C65" s="19"/>
      <c r="D65" s="19"/>
      <c r="E65" s="43" t="s">
        <v>15</v>
      </c>
    </row>
    <row r="66" spans="1:5" ht="12.75">
      <c r="A66" s="17">
        <f>A58-A58</f>
        <v>0</v>
      </c>
      <c r="B66" s="17">
        <f>B58-B58</f>
        <v>0</v>
      </c>
      <c r="C66" s="19" t="s">
        <v>258</v>
      </c>
      <c r="D66" s="19" t="s">
        <v>241</v>
      </c>
      <c r="E66" s="39">
        <v>0.3958333333333333</v>
      </c>
    </row>
    <row r="67" spans="1:5" ht="12.75">
      <c r="A67" s="17">
        <f>A58-A57</f>
        <v>32</v>
      </c>
      <c r="B67" s="17">
        <f>B57</f>
        <v>141.732</v>
      </c>
      <c r="C67" s="19" t="s">
        <v>329</v>
      </c>
      <c r="D67" s="47" t="s">
        <v>286</v>
      </c>
      <c r="E67" s="39">
        <v>0.4222222222222222</v>
      </c>
    </row>
    <row r="68" spans="1:5" ht="12.75">
      <c r="A68" s="17">
        <f>A58-A56</f>
        <v>50</v>
      </c>
      <c r="B68" s="17">
        <f>B56</f>
        <v>123.7488</v>
      </c>
      <c r="C68" s="19" t="s">
        <v>328</v>
      </c>
      <c r="D68" s="47" t="s">
        <v>286</v>
      </c>
      <c r="E68" s="39">
        <v>0.43333333333333335</v>
      </c>
    </row>
    <row r="69" spans="1:5" ht="12.75">
      <c r="A69" s="17">
        <f>A58-A55</f>
        <v>62</v>
      </c>
      <c r="B69" s="17">
        <f>B55</f>
        <v>112.16640000000001</v>
      </c>
      <c r="C69" s="19" t="s">
        <v>327</v>
      </c>
      <c r="D69" s="47" t="s">
        <v>286</v>
      </c>
      <c r="E69" s="39">
        <v>0.4409722222222222</v>
      </c>
    </row>
    <row r="70" spans="1:5" ht="12.75">
      <c r="A70" s="17">
        <f>A58-A54</f>
        <v>94</v>
      </c>
      <c r="B70" s="17">
        <f>B54</f>
        <v>110.33760000000001</v>
      </c>
      <c r="C70" s="19" t="s">
        <v>257</v>
      </c>
      <c r="D70" s="47"/>
      <c r="E70" s="39">
        <v>0.4638888888888889</v>
      </c>
    </row>
    <row r="71" spans="1:5" ht="12.75">
      <c r="A71" s="17">
        <f>A58-A53</f>
        <v>125</v>
      </c>
      <c r="B71" s="17">
        <f>B53</f>
        <v>163.6776</v>
      </c>
      <c r="C71" t="s">
        <v>323</v>
      </c>
      <c r="D71" s="47" t="s">
        <v>286</v>
      </c>
      <c r="E71" s="39">
        <v>0.4826388888888889</v>
      </c>
    </row>
    <row r="72" spans="1:5" ht="12.75">
      <c r="A72" s="17">
        <f>A58-A52</f>
        <v>144</v>
      </c>
      <c r="B72" s="17">
        <f>B52</f>
        <v>246.888</v>
      </c>
      <c r="C72" t="s">
        <v>322</v>
      </c>
      <c r="D72">
        <v>37</v>
      </c>
      <c r="E72" s="39">
        <v>0.4951388888888889</v>
      </c>
    </row>
    <row r="73" spans="1:5" ht="12.75">
      <c r="A73" s="17">
        <f>A58-A51</f>
        <v>160</v>
      </c>
      <c r="B73" s="17">
        <f>B51</f>
        <v>306.6288</v>
      </c>
      <c r="C73" t="s">
        <v>321</v>
      </c>
      <c r="D73">
        <v>37</v>
      </c>
      <c r="E73" s="39">
        <v>0.5041666666666667</v>
      </c>
    </row>
    <row r="74" spans="1:5" ht="12.75">
      <c r="A74" s="17">
        <f>A58-A50</f>
        <v>180</v>
      </c>
      <c r="B74" s="17">
        <f>B50</f>
        <v>416.9664</v>
      </c>
      <c r="C74" s="19" t="s">
        <v>256</v>
      </c>
      <c r="D74" s="19" t="s">
        <v>246</v>
      </c>
      <c r="E74" s="39">
        <v>0.5173611111111112</v>
      </c>
    </row>
    <row r="75" spans="1:5" ht="12.75">
      <c r="A75" s="17">
        <f>A58-A49</f>
        <v>180</v>
      </c>
      <c r="B75" s="17">
        <f>B49</f>
        <v>416.9664</v>
      </c>
      <c r="C75" s="19" t="s">
        <v>256</v>
      </c>
      <c r="D75" s="19" t="s">
        <v>241</v>
      </c>
      <c r="E75" s="39">
        <v>0.5180555555555556</v>
      </c>
    </row>
    <row r="76" spans="1:5" ht="12.75">
      <c r="A76" s="17">
        <f>A58-A48</f>
        <v>185</v>
      </c>
      <c r="B76" s="17">
        <f>B48</f>
        <v>436.47360000000003</v>
      </c>
      <c r="C76" t="s">
        <v>319</v>
      </c>
      <c r="D76" s="47" t="s">
        <v>286</v>
      </c>
      <c r="E76" s="39">
        <v>0.5243055555555556</v>
      </c>
    </row>
    <row r="77" spans="1:5" ht="12.75">
      <c r="A77" s="17">
        <f>A58-A47</f>
        <v>197</v>
      </c>
      <c r="B77" s="17">
        <f>B47</f>
        <v>527.9136</v>
      </c>
      <c r="C77" s="39" t="s">
        <v>255</v>
      </c>
      <c r="D77" s="47"/>
      <c r="E77" s="39">
        <v>0.5486111111111112</v>
      </c>
    </row>
    <row r="78" spans="1:5" ht="12.75">
      <c r="A78" s="18">
        <f>$A$58-A46</f>
        <v>206</v>
      </c>
      <c r="C78" s="17" t="str">
        <f>C46</f>
        <v>Milepost 342.7</v>
      </c>
      <c r="D78">
        <v>37</v>
      </c>
      <c r="E78" s="36" t="s">
        <v>376</v>
      </c>
    </row>
    <row r="79" spans="1:5" ht="12.75">
      <c r="A79" s="17">
        <f>A58-A45</f>
        <v>219</v>
      </c>
      <c r="B79" s="17">
        <f>B45</f>
        <v>596.4936</v>
      </c>
      <c r="C79" t="s">
        <v>317</v>
      </c>
      <c r="D79" s="47" t="s">
        <v>286</v>
      </c>
      <c r="E79" s="39">
        <v>0.56875</v>
      </c>
    </row>
    <row r="80" spans="1:5" ht="12.75">
      <c r="A80" s="17">
        <f>A58-A44</f>
        <v>231</v>
      </c>
      <c r="B80" s="17">
        <f>B44</f>
        <v>626.6688</v>
      </c>
      <c r="C80" s="19" t="s">
        <v>316</v>
      </c>
      <c r="D80">
        <v>37</v>
      </c>
      <c r="E80" s="39">
        <v>0.5791666666666667</v>
      </c>
    </row>
    <row r="81" spans="1:5" ht="12.75">
      <c r="A81" s="17">
        <f>A58-A43</f>
        <v>243</v>
      </c>
      <c r="B81" s="17">
        <f>B43</f>
        <v>674.2176000000001</v>
      </c>
      <c r="C81" t="s">
        <v>254</v>
      </c>
      <c r="D81" s="47" t="s">
        <v>286</v>
      </c>
      <c r="E81" s="39">
        <v>0.5895833333333333</v>
      </c>
    </row>
    <row r="82" spans="1:5" ht="12.75">
      <c r="A82" s="17">
        <f>A58-A42</f>
        <v>254</v>
      </c>
      <c r="B82" s="17">
        <f>B42</f>
        <v>712.3176000000001</v>
      </c>
      <c r="C82" t="s">
        <v>125</v>
      </c>
      <c r="D82">
        <v>37</v>
      </c>
      <c r="E82" s="39">
        <v>0.5972222222222222</v>
      </c>
    </row>
    <row r="83" spans="1:5" ht="12.75">
      <c r="A83" s="17">
        <f>A58-A41</f>
        <v>267</v>
      </c>
      <c r="B83" s="17">
        <f>B41</f>
        <v>648.3096</v>
      </c>
      <c r="C83" t="s">
        <v>253</v>
      </c>
      <c r="D83" s="47" t="s">
        <v>286</v>
      </c>
      <c r="E83" s="39">
        <v>0.6055555555555555</v>
      </c>
    </row>
    <row r="84" spans="1:5" ht="12.75">
      <c r="A84" s="17">
        <f>A58-A40</f>
        <v>279</v>
      </c>
      <c r="B84" s="17">
        <f>B40</f>
        <v>595.5792</v>
      </c>
      <c r="C84" t="s">
        <v>315</v>
      </c>
      <c r="D84" s="47" t="s">
        <v>286</v>
      </c>
      <c r="E84" s="39">
        <v>0.6145833333333334</v>
      </c>
    </row>
    <row r="85" spans="1:5" ht="12.75">
      <c r="A85" s="17">
        <f>A58-A39</f>
        <v>292</v>
      </c>
      <c r="B85" s="17">
        <f>B39</f>
        <v>443.78880000000004</v>
      </c>
      <c r="C85" t="s">
        <v>314</v>
      </c>
      <c r="D85" s="47" t="s">
        <v>286</v>
      </c>
      <c r="E85" s="39">
        <v>0.6243055555555556</v>
      </c>
    </row>
    <row r="86" spans="1:5" ht="12.75">
      <c r="A86" s="17">
        <f>A58-A38</f>
        <v>304</v>
      </c>
      <c r="B86" s="17">
        <f>B38</f>
        <v>514.5024000000001</v>
      </c>
      <c r="C86" s="19" t="s">
        <v>252</v>
      </c>
      <c r="D86" s="47" t="s">
        <v>286</v>
      </c>
      <c r="E86" s="39">
        <v>0.6375</v>
      </c>
    </row>
    <row r="87" spans="1:5" ht="12.75">
      <c r="A87" s="18">
        <f>$A$58-A37</f>
        <v>314</v>
      </c>
      <c r="C87" s="17" t="str">
        <f>C37</f>
        <v>Milepost 275.4</v>
      </c>
      <c r="D87">
        <v>37</v>
      </c>
      <c r="E87" s="36" t="s">
        <v>376</v>
      </c>
    </row>
    <row r="88" spans="1:5" ht="12.75">
      <c r="A88" s="17">
        <f>A58-A36</f>
        <v>316</v>
      </c>
      <c r="B88" s="17">
        <f>B36</f>
        <v>390.144</v>
      </c>
      <c r="C88" s="19" t="s">
        <v>313</v>
      </c>
      <c r="D88" s="47" t="s">
        <v>286</v>
      </c>
      <c r="E88" s="39">
        <v>0.6479166666666667</v>
      </c>
    </row>
    <row r="89" spans="1:5" ht="12.75">
      <c r="A89" s="18">
        <f>$A$58-A35</f>
        <v>322</v>
      </c>
      <c r="C89" s="17" t="str">
        <f>C35</f>
        <v>Milepost 270</v>
      </c>
      <c r="D89">
        <v>37</v>
      </c>
      <c r="E89" s="36" t="s">
        <v>376</v>
      </c>
    </row>
    <row r="90" spans="1:5" ht="12.75">
      <c r="A90" s="18">
        <f>$A$58-A34</f>
        <v>324</v>
      </c>
      <c r="C90" s="17" t="str">
        <f>C34</f>
        <v>Milepost 269</v>
      </c>
      <c r="D90">
        <v>37</v>
      </c>
      <c r="E90" s="36" t="s">
        <v>376</v>
      </c>
    </row>
    <row r="91" spans="1:5" ht="12.75">
      <c r="A91" s="18">
        <f>$A$58-A32</f>
        <v>329</v>
      </c>
      <c r="C91" s="17" t="str">
        <f>C32</f>
        <v>Milepost 266</v>
      </c>
      <c r="D91">
        <v>37</v>
      </c>
      <c r="E91" s="36" t="s">
        <v>376</v>
      </c>
    </row>
    <row r="92" spans="1:5" ht="12.75">
      <c r="A92" s="17">
        <f>A58-A33</f>
        <v>325</v>
      </c>
      <c r="B92" s="17">
        <f>B33</f>
        <v>267.9192</v>
      </c>
      <c r="C92" s="19" t="s">
        <v>312</v>
      </c>
      <c r="D92" s="47" t="s">
        <v>286</v>
      </c>
      <c r="E92" s="39">
        <v>0.65625</v>
      </c>
    </row>
    <row r="93" spans="1:5" ht="12.75">
      <c r="A93" s="17">
        <f>A58-A31</f>
        <v>333</v>
      </c>
      <c r="B93" s="17">
        <f>B31</f>
        <v>222.80880000000002</v>
      </c>
      <c r="C93" s="19" t="s">
        <v>311</v>
      </c>
      <c r="D93" s="47" t="s">
        <v>286</v>
      </c>
      <c r="E93" s="39">
        <v>0.6625</v>
      </c>
    </row>
    <row r="94" spans="1:5" ht="12.75">
      <c r="A94" s="17">
        <f>A58-A30</f>
        <v>342</v>
      </c>
      <c r="B94" s="17">
        <f>B30</f>
        <v>189.2808</v>
      </c>
      <c r="C94" s="19" t="s">
        <v>310</v>
      </c>
      <c r="D94" s="47" t="s">
        <v>286</v>
      </c>
      <c r="E94" s="39">
        <v>0.6694444444444444</v>
      </c>
    </row>
    <row r="95" spans="1:5" ht="12.75">
      <c r="A95" s="51">
        <f>A58-A29</f>
        <v>343</v>
      </c>
      <c r="B95" s="51"/>
      <c r="C95" s="17" t="str">
        <f>C29</f>
        <v>Milepost 257</v>
      </c>
      <c r="D95">
        <v>37</v>
      </c>
      <c r="E95" s="36" t="s">
        <v>376</v>
      </c>
    </row>
    <row r="96" spans="1:5" ht="12.75">
      <c r="A96" s="17">
        <f>A58-A28</f>
        <v>357</v>
      </c>
      <c r="B96" s="17">
        <f>B28</f>
        <v>166.4208</v>
      </c>
      <c r="C96" s="19" t="s">
        <v>250</v>
      </c>
      <c r="D96" s="47" t="s">
        <v>286</v>
      </c>
      <c r="E96" s="39">
        <v>0.6805555555555556</v>
      </c>
    </row>
    <row r="97" spans="1:5" ht="12.75">
      <c r="A97" s="18">
        <f>$A$58-A27</f>
        <v>363</v>
      </c>
      <c r="C97" s="12" t="str">
        <f>C27</f>
        <v>Milepost 244.6</v>
      </c>
      <c r="D97">
        <v>37</v>
      </c>
      <c r="E97" s="36" t="s">
        <v>376</v>
      </c>
    </row>
    <row r="98" spans="1:5" ht="12.75">
      <c r="A98" s="18">
        <f>$A$58-A26</f>
        <v>368</v>
      </c>
      <c r="C98" s="12" t="str">
        <f>C26</f>
        <v>Lane</v>
      </c>
      <c r="D98">
        <v>37</v>
      </c>
      <c r="E98" s="36" t="s">
        <v>376</v>
      </c>
    </row>
    <row r="99" spans="1:5" ht="12.75">
      <c r="A99" s="18">
        <f>$A$58-A25</f>
        <v>372</v>
      </c>
      <c r="C99" s="12" t="str">
        <f>C25</f>
        <v>Milepost 239.5</v>
      </c>
      <c r="D99">
        <v>37</v>
      </c>
      <c r="E99" s="36" t="s">
        <v>376</v>
      </c>
    </row>
    <row r="100" spans="1:5" ht="12.75">
      <c r="A100" s="18">
        <f>$A$58-A24</f>
        <v>373</v>
      </c>
      <c r="C100" s="12" t="str">
        <f>C24</f>
        <v>Milepost 238.4</v>
      </c>
      <c r="D100">
        <v>37</v>
      </c>
      <c r="E100" s="36" t="s">
        <v>376</v>
      </c>
    </row>
    <row r="101" spans="1:5" ht="12.75">
      <c r="A101" s="17">
        <f>A58-A23</f>
        <v>377</v>
      </c>
      <c r="B101" s="17">
        <f>B23</f>
        <v>140.5128</v>
      </c>
      <c r="C101" s="19" t="s">
        <v>309</v>
      </c>
      <c r="D101" s="47" t="s">
        <v>286</v>
      </c>
      <c r="E101" s="39">
        <v>0.6930555555555555</v>
      </c>
    </row>
    <row r="102" spans="1:5" ht="12.75">
      <c r="A102" s="18">
        <f>$A$58-A22</f>
        <v>381</v>
      </c>
      <c r="C102" s="12" t="str">
        <f>C22</f>
        <v>Milepost 233.5</v>
      </c>
      <c r="D102">
        <v>37</v>
      </c>
      <c r="E102" s="36" t="s">
        <v>376</v>
      </c>
    </row>
    <row r="103" spans="1:5" ht="12.75">
      <c r="A103" s="18">
        <f>$A$58-A21</f>
        <v>384</v>
      </c>
      <c r="C103" s="12" t="str">
        <f>C21</f>
        <v>Gravel Pit</v>
      </c>
      <c r="D103">
        <v>37</v>
      </c>
      <c r="E103" s="36" t="s">
        <v>376</v>
      </c>
    </row>
    <row r="104" spans="1:5" ht="12.75">
      <c r="A104" s="17">
        <f>A58-A20</f>
        <v>392</v>
      </c>
      <c r="B104" s="17">
        <f>B20</f>
        <v>107.89920000000001</v>
      </c>
      <c r="C104" s="19" t="s">
        <v>249</v>
      </c>
      <c r="D104" s="19"/>
      <c r="E104" s="39">
        <v>0.7027777777777777</v>
      </c>
    </row>
    <row r="105" spans="1:5" ht="12.75">
      <c r="A105" s="51">
        <f>A58-A19</f>
        <v>401</v>
      </c>
      <c r="B105" s="17">
        <f>B19</f>
        <v>94.488</v>
      </c>
      <c r="C105" s="19" t="s">
        <v>308</v>
      </c>
      <c r="D105">
        <v>37</v>
      </c>
      <c r="E105" s="36" t="s">
        <v>376</v>
      </c>
    </row>
    <row r="106" spans="1:5" ht="12.75">
      <c r="A106" s="17">
        <f>A58-A18</f>
        <v>410</v>
      </c>
      <c r="B106" s="17">
        <f>B18</f>
        <v>99.9744</v>
      </c>
      <c r="C106" s="12" t="s">
        <v>307</v>
      </c>
      <c r="D106" s="47" t="s">
        <v>286</v>
      </c>
      <c r="E106" s="39">
        <v>0.7131944444444445</v>
      </c>
    </row>
    <row r="107" spans="1:5" ht="12.75">
      <c r="A107" s="17">
        <f>A58-A17</f>
        <v>420</v>
      </c>
      <c r="B107" s="17">
        <f>B17</f>
        <v>85.95360000000001</v>
      </c>
      <c r="C107" s="12" t="s">
        <v>305</v>
      </c>
      <c r="D107" s="47" t="s">
        <v>286</v>
      </c>
      <c r="E107" s="39">
        <v>0.7194444444444444</v>
      </c>
    </row>
    <row r="108" spans="1:5" ht="12.75">
      <c r="A108" s="17">
        <f>A58-A16</f>
        <v>431</v>
      </c>
      <c r="B108" s="17">
        <f>B16</f>
        <v>74.9808</v>
      </c>
      <c r="C108" s="12" t="s">
        <v>303</v>
      </c>
      <c r="D108" s="47" t="s">
        <v>286</v>
      </c>
      <c r="E108" s="39">
        <v>0.7263888888888889</v>
      </c>
    </row>
    <row r="109" spans="1:5" ht="12.75">
      <c r="A109" s="17">
        <f>A58-A15</f>
        <v>445</v>
      </c>
      <c r="B109" s="17">
        <f>B15</f>
        <v>71.9328</v>
      </c>
      <c r="C109" s="12" t="s">
        <v>302</v>
      </c>
      <c r="D109" s="47" t="s">
        <v>286</v>
      </c>
      <c r="E109" s="39">
        <v>0.7347222222222223</v>
      </c>
    </row>
    <row r="110" spans="1:5" ht="12.75">
      <c r="A110" s="17">
        <f>A58-A14</f>
        <v>450</v>
      </c>
      <c r="B110" s="17">
        <f>B14</f>
        <v>53.34</v>
      </c>
      <c r="C110" s="12" t="s">
        <v>301</v>
      </c>
      <c r="D110">
        <v>37</v>
      </c>
      <c r="E110" s="36" t="s">
        <v>376</v>
      </c>
    </row>
    <row r="111" spans="1:5" ht="12.75">
      <c r="A111" s="17">
        <f>A58-A13</f>
        <v>458</v>
      </c>
      <c r="B111" s="17">
        <f>B13</f>
        <v>70.7136</v>
      </c>
      <c r="C111" s="12" t="s">
        <v>300</v>
      </c>
      <c r="D111" s="47" t="s">
        <v>286</v>
      </c>
      <c r="E111" s="39">
        <v>0.7423611111111111</v>
      </c>
    </row>
    <row r="112" spans="1:5" ht="12.75">
      <c r="A112" s="17">
        <f>A58-A12</f>
        <v>475</v>
      </c>
      <c r="B112" s="17">
        <f>B12</f>
        <v>74.9808</v>
      </c>
      <c r="C112" s="12" t="s">
        <v>298</v>
      </c>
      <c r="D112" s="47" t="s">
        <v>286</v>
      </c>
      <c r="E112" s="39">
        <v>0.7527777777777778</v>
      </c>
    </row>
    <row r="113" spans="1:5" ht="12.75">
      <c r="A113" s="17">
        <f>$A$58-A11</f>
        <v>490</v>
      </c>
      <c r="C113" s="12" t="str">
        <f>C11</f>
        <v>Rainbow Crossing</v>
      </c>
      <c r="D113">
        <v>37</v>
      </c>
      <c r="E113" s="36" t="s">
        <v>376</v>
      </c>
    </row>
    <row r="114" spans="1:5" ht="12.75">
      <c r="A114" s="17">
        <f>A58-A10</f>
        <v>500</v>
      </c>
      <c r="B114" s="17">
        <f>B10</f>
        <v>103.3272</v>
      </c>
      <c r="C114" s="19" t="s">
        <v>248</v>
      </c>
      <c r="D114" s="47"/>
      <c r="E114" s="39">
        <v>0.7680555555555556</v>
      </c>
    </row>
    <row r="115" spans="1:5" ht="12.75">
      <c r="A115" s="17">
        <f>A58-A9</f>
        <v>514</v>
      </c>
      <c r="B115" s="17">
        <f>B9</f>
        <v>10.972800000000001</v>
      </c>
      <c r="C115" s="19" t="s">
        <v>247</v>
      </c>
      <c r="D115" s="47" t="s">
        <v>286</v>
      </c>
      <c r="E115" s="39">
        <v>0.7819444444444444</v>
      </c>
    </row>
    <row r="116" spans="1:5" ht="12.75">
      <c r="A116" s="17">
        <f>A58-A8</f>
        <v>530</v>
      </c>
      <c r="B116" s="17">
        <f>B8</f>
        <v>15.24</v>
      </c>
      <c r="C116" s="19" t="s">
        <v>296</v>
      </c>
      <c r="D116" s="47" t="s">
        <v>286</v>
      </c>
      <c r="E116" s="39">
        <v>0.7923611111111111</v>
      </c>
    </row>
    <row r="117" spans="1:5" ht="12.75">
      <c r="A117" s="17">
        <f>A58-A7</f>
        <v>538</v>
      </c>
      <c r="B117" s="17">
        <f>B7</f>
        <v>28.041600000000003</v>
      </c>
      <c r="C117" s="19" t="s">
        <v>295</v>
      </c>
      <c r="D117" s="47" t="s">
        <v>286</v>
      </c>
      <c r="E117" s="39">
        <v>0.7979166666666667</v>
      </c>
    </row>
    <row r="118" spans="1:5" ht="12.75">
      <c r="A118" s="12">
        <f>A58-A6</f>
        <v>569</v>
      </c>
      <c r="B118" s="12">
        <f>B6</f>
        <v>12.192</v>
      </c>
      <c r="C118" t="s">
        <v>292</v>
      </c>
      <c r="D118" s="47" t="s">
        <v>286</v>
      </c>
      <c r="E118" s="36" t="s">
        <v>286</v>
      </c>
    </row>
    <row r="119" spans="1:5" ht="12.75">
      <c r="A119" s="17">
        <f>A58-A5</f>
        <v>573</v>
      </c>
      <c r="B119" s="17">
        <f>B5</f>
        <v>11.5824</v>
      </c>
      <c r="C119" s="19" t="s">
        <v>245</v>
      </c>
      <c r="D119" s="19" t="s">
        <v>246</v>
      </c>
      <c r="E119" s="39">
        <v>0.8333333333333334</v>
      </c>
    </row>
    <row r="120" spans="3:4" ht="12.75">
      <c r="C120" s="19" t="s">
        <v>290</v>
      </c>
      <c r="D120" s="19"/>
    </row>
    <row r="121" ht="12.75">
      <c r="C121" t="s">
        <v>377</v>
      </c>
    </row>
    <row r="122" ht="12.75">
      <c r="C122" s="19" t="s">
        <v>375</v>
      </c>
    </row>
    <row r="124" spans="1:11" ht="12.75">
      <c r="A124" s="50" t="s">
        <v>2</v>
      </c>
      <c r="B124" s="36" t="s">
        <v>222</v>
      </c>
      <c r="C124" s="42" t="s">
        <v>237</v>
      </c>
      <c r="D124" s="19"/>
      <c r="E124" t="s">
        <v>78</v>
      </c>
      <c r="F124" s="57">
        <v>1</v>
      </c>
      <c r="G124" s="57">
        <v>2</v>
      </c>
      <c r="H124" s="57">
        <v>3</v>
      </c>
      <c r="J124" s="57">
        <v>1</v>
      </c>
      <c r="K124" s="57">
        <v>2</v>
      </c>
    </row>
    <row r="125" spans="1:11" ht="12.75">
      <c r="A125" s="16"/>
      <c r="C125" s="42" t="s">
        <v>392</v>
      </c>
      <c r="D125" s="19"/>
      <c r="E125" s="64" t="s">
        <v>393</v>
      </c>
      <c r="F125" s="23" t="s">
        <v>379</v>
      </c>
      <c r="G125" s="23" t="s">
        <v>379</v>
      </c>
      <c r="H125" s="23" t="s">
        <v>379</v>
      </c>
      <c r="J125" s="23" t="s">
        <v>335</v>
      </c>
      <c r="K125" s="23" t="s">
        <v>335</v>
      </c>
    </row>
    <row r="126" spans="1:12" ht="12.75">
      <c r="A126" s="32">
        <v>0</v>
      </c>
      <c r="B126" s="17">
        <f>0.3048*38</f>
        <v>11.5824</v>
      </c>
      <c r="C126" s="19" t="s">
        <v>245</v>
      </c>
      <c r="D126" s="19" t="s">
        <v>241</v>
      </c>
      <c r="E126" s="39">
        <f>F126-6/24</f>
        <v>0.20833333333333331</v>
      </c>
      <c r="F126" s="39">
        <v>0.4583333333333333</v>
      </c>
      <c r="G126" s="39"/>
      <c r="J126" s="39">
        <f>F126</f>
        <v>0.4583333333333333</v>
      </c>
      <c r="K126" s="39"/>
      <c r="L126" s="39"/>
    </row>
    <row r="127" spans="1:12" ht="12.75">
      <c r="A127" s="46">
        <v>80.61</v>
      </c>
      <c r="B127" s="17">
        <f>0.3048*33</f>
        <v>10.0584</v>
      </c>
      <c r="C127" s="19" t="s">
        <v>270</v>
      </c>
      <c r="D127" s="19" t="s">
        <v>246</v>
      </c>
      <c r="E127" s="39">
        <f>F127-6/24</f>
        <v>0.27083333333333337</v>
      </c>
      <c r="F127" s="39">
        <v>0.5208333333333334</v>
      </c>
      <c r="G127" s="39"/>
      <c r="J127" s="39">
        <f>F127</f>
        <v>0.5208333333333334</v>
      </c>
      <c r="K127" s="39"/>
      <c r="L127" s="39"/>
    </row>
    <row r="128" spans="1:11" ht="12.75">
      <c r="A128" s="46">
        <v>80.61</v>
      </c>
      <c r="B128" s="17">
        <f>0.3048*33</f>
        <v>10.0584</v>
      </c>
      <c r="C128" s="19" t="s">
        <v>270</v>
      </c>
      <c r="D128" s="19" t="s">
        <v>241</v>
      </c>
      <c r="E128" s="39">
        <v>0.2916666666666667</v>
      </c>
      <c r="F128" s="39">
        <v>0.5555555555555556</v>
      </c>
      <c r="G128" s="39">
        <v>0.6805555555555556</v>
      </c>
      <c r="H128" s="39">
        <v>0.7777777777777778</v>
      </c>
      <c r="J128" s="39">
        <f>F128</f>
        <v>0.5555555555555556</v>
      </c>
      <c r="K128" s="39">
        <f>G128</f>
        <v>0.6805555555555556</v>
      </c>
    </row>
    <row r="129" spans="1:11" ht="12.75">
      <c r="A129" s="46">
        <v>100.56</v>
      </c>
      <c r="B129" s="17">
        <f>0.3048*21</f>
        <v>6.4008</v>
      </c>
      <c r="C129" s="19" t="s">
        <v>281</v>
      </c>
      <c r="D129" s="19" t="s">
        <v>246</v>
      </c>
      <c r="E129" s="39">
        <v>0.3159722222222222</v>
      </c>
      <c r="F129" s="39">
        <v>0.5798611111111112</v>
      </c>
      <c r="G129" s="39">
        <v>0.7048611111111112</v>
      </c>
      <c r="H129" s="39">
        <v>0.8020833333333334</v>
      </c>
      <c r="J129" s="39">
        <f>F129</f>
        <v>0.5798611111111112</v>
      </c>
      <c r="K129" s="39">
        <f>G129</f>
        <v>0.7048611111111112</v>
      </c>
    </row>
    <row r="130" spans="1:12" ht="12.75">
      <c r="A130" s="46"/>
      <c r="B130" s="17"/>
      <c r="C130" s="19"/>
      <c r="D130" s="19"/>
      <c r="F130" s="39"/>
      <c r="G130" s="39"/>
      <c r="J130" s="39"/>
      <c r="K130" s="39"/>
      <c r="L130" s="39"/>
    </row>
    <row r="131" ht="12.75">
      <c r="D131" s="19"/>
    </row>
    <row r="132" spans="1:11" ht="12.75">
      <c r="A132" s="50" t="s">
        <v>2</v>
      </c>
      <c r="B132" s="36" t="s">
        <v>222</v>
      </c>
      <c r="C132" s="42" t="s">
        <v>223</v>
      </c>
      <c r="D132" s="19"/>
      <c r="E132" t="s">
        <v>78</v>
      </c>
      <c r="F132" s="57">
        <v>1</v>
      </c>
      <c r="G132" s="57">
        <v>2</v>
      </c>
      <c r="H132" s="57">
        <v>3</v>
      </c>
      <c r="J132" s="57">
        <v>1</v>
      </c>
      <c r="K132" s="57">
        <v>2</v>
      </c>
    </row>
    <row r="133" spans="1:11" ht="12.75">
      <c r="A133" s="16"/>
      <c r="C133" s="42" t="s">
        <v>392</v>
      </c>
      <c r="D133" s="19"/>
      <c r="E133" s="64" t="s">
        <v>393</v>
      </c>
      <c r="F133" s="23" t="s">
        <v>379</v>
      </c>
      <c r="G133" s="23" t="s">
        <v>379</v>
      </c>
      <c r="H133" s="23" t="s">
        <v>379</v>
      </c>
      <c r="J133" s="23" t="s">
        <v>335</v>
      </c>
      <c r="K133" s="23" t="s">
        <v>335</v>
      </c>
    </row>
    <row r="134" spans="1:11" ht="12.75">
      <c r="A134" s="32">
        <f>A129-A129</f>
        <v>0</v>
      </c>
      <c r="B134" s="17">
        <f>B129</f>
        <v>6.4008</v>
      </c>
      <c r="C134" s="19" t="s">
        <v>281</v>
      </c>
      <c r="D134" s="19" t="s">
        <v>241</v>
      </c>
      <c r="E134" s="39">
        <v>0.3263888888888889</v>
      </c>
      <c r="F134" s="39">
        <v>0.6319444444444444</v>
      </c>
      <c r="G134" s="39">
        <v>0.7291666666666666</v>
      </c>
      <c r="H134" s="39">
        <v>0.8263888888888888</v>
      </c>
      <c r="J134" s="39">
        <f>F134</f>
        <v>0.6319444444444444</v>
      </c>
      <c r="K134" s="39">
        <v>0.7291666666666666</v>
      </c>
    </row>
    <row r="135" spans="1:11" ht="12.75">
      <c r="A135" s="32">
        <f>A129-A128</f>
        <v>19.950000000000003</v>
      </c>
      <c r="B135" s="17">
        <f>B128</f>
        <v>10.0584</v>
      </c>
      <c r="C135" s="19" t="s">
        <v>270</v>
      </c>
      <c r="D135" s="19" t="s">
        <v>246</v>
      </c>
      <c r="E135" s="39">
        <v>0.3368055555555556</v>
      </c>
      <c r="F135" s="39">
        <v>0.65625</v>
      </c>
      <c r="G135" s="39">
        <v>0.7534722222222222</v>
      </c>
      <c r="H135" s="39">
        <v>0.8506944444444444</v>
      </c>
      <c r="J135" s="39">
        <f>F135</f>
        <v>0.65625</v>
      </c>
      <c r="K135" s="39">
        <v>0.7534722222222222</v>
      </c>
    </row>
    <row r="136" spans="1:11" ht="12.75">
      <c r="A136" s="32">
        <f>A135</f>
        <v>19.950000000000003</v>
      </c>
      <c r="B136" s="48">
        <f>B135</f>
        <v>10.0584</v>
      </c>
      <c r="C136" s="19" t="s">
        <v>270</v>
      </c>
      <c r="D136" s="19" t="s">
        <v>241</v>
      </c>
      <c r="E136" s="39">
        <v>0.3541666666666667</v>
      </c>
      <c r="F136" s="39"/>
      <c r="G136" s="39"/>
      <c r="H136" s="39">
        <v>0.8576388888888888</v>
      </c>
      <c r="J136" s="39"/>
      <c r="K136" s="39">
        <v>0.7604166666666666</v>
      </c>
    </row>
    <row r="137" spans="1:11" ht="12.75">
      <c r="A137" s="32">
        <f>A129-A126</f>
        <v>100.56</v>
      </c>
      <c r="B137" s="17">
        <f>B126</f>
        <v>11.5824</v>
      </c>
      <c r="C137" s="19" t="s">
        <v>245</v>
      </c>
      <c r="D137" s="19" t="s">
        <v>246</v>
      </c>
      <c r="E137" s="39">
        <v>0.4166666666666667</v>
      </c>
      <c r="F137" s="39"/>
      <c r="G137" s="39"/>
      <c r="H137" s="39">
        <v>0.9201388888888888</v>
      </c>
      <c r="J137" s="39"/>
      <c r="K137" s="39">
        <v>0.8229166666666666</v>
      </c>
    </row>
    <row r="138" ht="12.75">
      <c r="C138" s="19"/>
    </row>
    <row r="140" spans="1:5" ht="12.75">
      <c r="A140" s="3">
        <v>1981</v>
      </c>
      <c r="C140" s="35" t="s">
        <v>221</v>
      </c>
      <c r="E140" s="36"/>
    </row>
    <row r="141" spans="1:3" ht="12.75">
      <c r="A141" s="36" t="s">
        <v>2</v>
      </c>
      <c r="B141" s="36" t="s">
        <v>222</v>
      </c>
      <c r="C141" s="35" t="s">
        <v>223</v>
      </c>
    </row>
    <row r="142" spans="3:5" ht="12.75">
      <c r="C142" s="35" t="s">
        <v>224</v>
      </c>
      <c r="E142" s="38"/>
    </row>
    <row r="143" spans="1:5" ht="12.75">
      <c r="A143" s="18">
        <v>0</v>
      </c>
      <c r="B143" s="18">
        <v>0</v>
      </c>
      <c r="C143" t="s">
        <v>225</v>
      </c>
      <c r="D143" t="s">
        <v>241</v>
      </c>
      <c r="E143" t="s">
        <v>226</v>
      </c>
    </row>
    <row r="144" spans="1:5" ht="12.75">
      <c r="A144" s="18">
        <v>2.73</v>
      </c>
      <c r="B144" s="18">
        <v>0</v>
      </c>
      <c r="C144" t="s">
        <v>227</v>
      </c>
      <c r="E144" s="39"/>
    </row>
    <row r="145" spans="1:5" ht="12.75">
      <c r="A145" s="18">
        <v>31.83</v>
      </c>
      <c r="B145" s="18">
        <f>0.3048*2885</f>
        <v>879.3480000000001</v>
      </c>
      <c r="C145" t="s">
        <v>228</v>
      </c>
      <c r="E145" s="40"/>
    </row>
    <row r="146" spans="1:5" ht="12.75">
      <c r="A146" s="18">
        <v>52.13</v>
      </c>
      <c r="B146" s="18">
        <f>0.3048*2916</f>
        <v>888.7968000000001</v>
      </c>
      <c r="C146" t="s">
        <v>229</v>
      </c>
      <c r="E146" s="40"/>
    </row>
    <row r="147" spans="1:5" ht="12.75">
      <c r="A147" s="18">
        <v>64.33</v>
      </c>
      <c r="B147" s="18">
        <f>0.3048*2158</f>
        <v>657.7584</v>
      </c>
      <c r="C147" t="s">
        <v>230</v>
      </c>
      <c r="E147" s="37"/>
    </row>
    <row r="148" spans="1:5" ht="12.75">
      <c r="A148" s="18">
        <v>107.63</v>
      </c>
      <c r="B148" s="18">
        <f>0.3048*2164</f>
        <v>659.5872</v>
      </c>
      <c r="C148" t="s">
        <v>116</v>
      </c>
      <c r="E148" s="40"/>
    </row>
    <row r="149" spans="1:5" ht="12.75">
      <c r="A149" s="18">
        <v>176.83</v>
      </c>
      <c r="B149" s="18">
        <f>0.3048*2079</f>
        <v>633.6792</v>
      </c>
      <c r="C149" t="s">
        <v>231</v>
      </c>
      <c r="D149" t="s">
        <v>246</v>
      </c>
      <c r="E149" s="40"/>
    </row>
    <row r="150" ht="12.75">
      <c r="C150" t="s">
        <v>232</v>
      </c>
    </row>
    <row r="151" ht="12.75">
      <c r="C151" t="s">
        <v>233</v>
      </c>
    </row>
    <row r="152" ht="12.75">
      <c r="C152" t="s">
        <v>234</v>
      </c>
    </row>
    <row r="153" ht="12.75">
      <c r="C153" t="s">
        <v>235</v>
      </c>
    </row>
    <row r="156" spans="3:5" ht="12.75">
      <c r="C156" s="35" t="s">
        <v>221</v>
      </c>
      <c r="E156" s="36"/>
    </row>
    <row r="157" spans="3:5" ht="12.75">
      <c r="C157" s="35"/>
      <c r="E157" s="36"/>
    </row>
    <row r="158" spans="1:3" ht="12.75">
      <c r="A158" s="36" t="s">
        <v>2</v>
      </c>
      <c r="B158" s="36" t="s">
        <v>222</v>
      </c>
      <c r="C158" s="35" t="s">
        <v>237</v>
      </c>
    </row>
    <row r="159" spans="3:5" ht="12.75">
      <c r="C159" s="35" t="s">
        <v>224</v>
      </c>
      <c r="E159" s="38"/>
    </row>
    <row r="160" spans="1:5" ht="12.75">
      <c r="A160" s="18">
        <f>A149-A149</f>
        <v>0</v>
      </c>
      <c r="B160" s="18">
        <f>0.3048*2079</f>
        <v>633.6792</v>
      </c>
      <c r="C160" t="s">
        <v>231</v>
      </c>
      <c r="D160" t="s">
        <v>241</v>
      </c>
      <c r="E160" t="s">
        <v>238</v>
      </c>
    </row>
    <row r="161" spans="1:5" ht="12.75">
      <c r="A161" s="34">
        <f>A149-A148</f>
        <v>69.20000000000002</v>
      </c>
      <c r="B161" s="18">
        <f>0.3048*2164</f>
        <v>659.5872</v>
      </c>
      <c r="C161" t="s">
        <v>116</v>
      </c>
      <c r="E161" s="40"/>
    </row>
    <row r="162" spans="1:5" ht="12.75">
      <c r="A162" s="34">
        <f>A149-A147</f>
        <v>112.50000000000001</v>
      </c>
      <c r="B162" s="18">
        <f>0.3048*2158</f>
        <v>657.7584</v>
      </c>
      <c r="C162" t="s">
        <v>230</v>
      </c>
      <c r="E162" s="40"/>
    </row>
    <row r="163" spans="1:5" ht="12.75">
      <c r="A163" s="34">
        <f>A149-A146</f>
        <v>124.70000000000002</v>
      </c>
      <c r="B163" s="18">
        <f>0.3048*2916</f>
        <v>888.7968000000001</v>
      </c>
      <c r="C163" t="s">
        <v>229</v>
      </c>
      <c r="E163" s="40"/>
    </row>
    <row r="164" spans="1:5" ht="12.75">
      <c r="A164" s="34">
        <f>A149-A145</f>
        <v>145</v>
      </c>
      <c r="B164" s="18">
        <f>0.3048*2885</f>
        <v>879.3480000000001</v>
      </c>
      <c r="C164" t="s">
        <v>228</v>
      </c>
      <c r="E164" s="40"/>
    </row>
    <row r="165" spans="1:5" ht="12.75">
      <c r="A165" s="34">
        <f>A149-A144</f>
        <v>174.10000000000002</v>
      </c>
      <c r="B165" s="18">
        <v>0</v>
      </c>
      <c r="C165" t="s">
        <v>227</v>
      </c>
      <c r="D165" t="s">
        <v>246</v>
      </c>
      <c r="E165" s="39"/>
    </row>
    <row r="166" spans="1:5" ht="12.75">
      <c r="A166" s="34">
        <f>A149-A143</f>
        <v>176.83</v>
      </c>
      <c r="B166" s="18">
        <v>0</v>
      </c>
      <c r="C166" t="s">
        <v>225</v>
      </c>
      <c r="D166" t="s">
        <v>246</v>
      </c>
      <c r="E166" s="40"/>
    </row>
    <row r="167" spans="3:5" ht="12.75">
      <c r="C167" t="s">
        <v>239</v>
      </c>
      <c r="E167" s="12"/>
    </row>
    <row r="168" ht="12.75">
      <c r="C168" t="s">
        <v>233</v>
      </c>
    </row>
    <row r="169" ht="12.75">
      <c r="C169" t="s">
        <v>234</v>
      </c>
    </row>
    <row r="170" ht="12.75">
      <c r="C170" t="s">
        <v>235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2.xml><?xml version="1.0" encoding="utf-8"?>
<worksheet xmlns="http://schemas.openxmlformats.org/spreadsheetml/2006/main" xmlns:r="http://schemas.openxmlformats.org/officeDocument/2006/relationships">
  <dimension ref="A1:IV143"/>
  <sheetViews>
    <sheetView zoomScale="80" zoomScaleNormal="80" workbookViewId="0" topLeftCell="A1">
      <selection activeCell="A1" sqref="A1"/>
    </sheetView>
  </sheetViews>
  <sheetFormatPr defaultColWidth="12.57421875" defaultRowHeight="12.75"/>
  <cols>
    <col min="1" max="1" width="5.8515625" style="0" customWidth="1"/>
    <col min="2" max="2" width="7.421875" style="0" customWidth="1"/>
    <col min="3" max="3" width="39.421875" style="16" customWidth="1"/>
    <col min="4" max="4" width="2.140625" style="16" customWidth="1"/>
    <col min="5" max="12" width="11.57421875" style="16" customWidth="1"/>
    <col min="13" max="16" width="11.57421875" style="0" customWidth="1"/>
    <col min="17" max="16384" width="11.57421875" style="16" customWidth="1"/>
  </cols>
  <sheetData>
    <row r="1" spans="1:21" s="16" customFormat="1" ht="12.75">
      <c r="A1" s="3">
        <v>2001</v>
      </c>
      <c r="C1" s="3" t="s">
        <v>34</v>
      </c>
      <c r="E1">
        <v>10</v>
      </c>
      <c r="F1">
        <v>10</v>
      </c>
      <c r="G1" s="22"/>
      <c r="H1" s="22">
        <v>2</v>
      </c>
      <c r="I1" s="22">
        <v>4</v>
      </c>
      <c r="L1"/>
      <c r="Q1"/>
      <c r="R1"/>
      <c r="S1"/>
      <c r="T1"/>
      <c r="U1"/>
    </row>
    <row r="2" spans="1:21" s="16" customFormat="1" ht="12.75">
      <c r="A2"/>
      <c r="C2"/>
      <c r="E2" s="65" t="s">
        <v>57</v>
      </c>
      <c r="F2" s="66" t="s">
        <v>88</v>
      </c>
      <c r="G2" s="22"/>
      <c r="H2" s="67" t="s">
        <v>83</v>
      </c>
      <c r="I2" s="66" t="s">
        <v>88</v>
      </c>
      <c r="L2"/>
      <c r="Q2"/>
      <c r="R2"/>
      <c r="S2"/>
      <c r="T2"/>
      <c r="U2"/>
    </row>
    <row r="3" spans="1:21" s="16" customFormat="1" ht="12.75">
      <c r="A3" s="50" t="s">
        <v>2</v>
      </c>
      <c r="B3" s="36" t="s">
        <v>222</v>
      </c>
      <c r="C3" s="68" t="s">
        <v>394</v>
      </c>
      <c r="E3" s="23" t="s">
        <v>36</v>
      </c>
      <c r="F3" s="23" t="s">
        <v>395</v>
      </c>
      <c r="G3" s="22"/>
      <c r="H3" s="23" t="s">
        <v>84</v>
      </c>
      <c r="I3" s="21" t="s">
        <v>89</v>
      </c>
      <c r="L3"/>
      <c r="Q3"/>
      <c r="R3"/>
      <c r="S3"/>
      <c r="T3"/>
      <c r="U3"/>
    </row>
    <row r="4" spans="1:21" s="16" customFormat="1" ht="12.75">
      <c r="A4"/>
      <c r="B4"/>
      <c r="C4" s="42" t="s">
        <v>223</v>
      </c>
      <c r="E4" s="23" t="s">
        <v>396</v>
      </c>
      <c r="F4" s="50" t="s">
        <v>90</v>
      </c>
      <c r="G4" s="22"/>
      <c r="H4" s="23" t="s">
        <v>396</v>
      </c>
      <c r="I4" s="50" t="s">
        <v>90</v>
      </c>
      <c r="L4"/>
      <c r="Q4"/>
      <c r="R4"/>
      <c r="S4"/>
      <c r="T4"/>
      <c r="U4"/>
    </row>
    <row r="5" spans="1:21" s="16" customFormat="1" ht="12.75">
      <c r="A5">
        <v>0</v>
      </c>
      <c r="B5" s="17">
        <f>0.3048*38</f>
        <v>11.5824</v>
      </c>
      <c r="C5" s="16" t="s">
        <v>397</v>
      </c>
      <c r="D5" s="16" t="s">
        <v>241</v>
      </c>
      <c r="E5" s="39">
        <v>0.3541666666666667</v>
      </c>
      <c r="F5" s="39">
        <v>0.3541666666666667</v>
      </c>
      <c r="G5" s="22"/>
      <c r="H5" s="69">
        <v>0.34375</v>
      </c>
      <c r="L5"/>
      <c r="Q5"/>
      <c r="R5"/>
      <c r="S5"/>
      <c r="T5"/>
      <c r="U5"/>
    </row>
    <row r="6" spans="1:21" s="16" customFormat="1" ht="12.75">
      <c r="A6">
        <v>35</v>
      </c>
      <c r="B6" s="17">
        <f>0.3048*92</f>
        <v>28.041600000000003</v>
      </c>
      <c r="C6" s="16" t="s">
        <v>398</v>
      </c>
      <c r="D6" s="16" t="s">
        <v>286</v>
      </c>
      <c r="E6" s="39">
        <v>0.3854166666666667</v>
      </c>
      <c r="F6" s="39">
        <v>0.3854166666666667</v>
      </c>
      <c r="G6" s="22"/>
      <c r="H6" s="36" t="s">
        <v>251</v>
      </c>
      <c r="L6"/>
      <c r="Q6"/>
      <c r="R6"/>
      <c r="S6"/>
      <c r="T6"/>
      <c r="U6"/>
    </row>
    <row r="7" spans="1:21" s="16" customFormat="1" ht="12.75">
      <c r="A7">
        <v>43</v>
      </c>
      <c r="B7" s="17">
        <f>0.3048*50</f>
        <v>15.24</v>
      </c>
      <c r="C7" s="16" t="s">
        <v>399</v>
      </c>
      <c r="D7" s="16" t="s">
        <v>286</v>
      </c>
      <c r="E7" s="39">
        <v>0.39375</v>
      </c>
      <c r="F7" s="39">
        <v>0.39375</v>
      </c>
      <c r="G7" s="22"/>
      <c r="H7" s="36" t="s">
        <v>251</v>
      </c>
      <c r="I7"/>
      <c r="L7"/>
      <c r="Q7"/>
      <c r="R7"/>
      <c r="S7"/>
      <c r="T7"/>
      <c r="U7"/>
    </row>
    <row r="8" spans="1:21" s="16" customFormat="1" ht="12.75">
      <c r="A8">
        <v>59</v>
      </c>
      <c r="B8" s="17">
        <f>0.3048*36</f>
        <v>10.972800000000001</v>
      </c>
      <c r="C8" s="16" t="s">
        <v>400</v>
      </c>
      <c r="D8" s="16" t="s">
        <v>286</v>
      </c>
      <c r="E8" s="39">
        <v>0.40625</v>
      </c>
      <c r="F8" s="39">
        <v>0.40625</v>
      </c>
      <c r="G8" s="22"/>
      <c r="H8" s="36" t="s">
        <v>251</v>
      </c>
      <c r="I8"/>
      <c r="L8"/>
      <c r="Q8"/>
      <c r="R8"/>
      <c r="S8"/>
      <c r="T8"/>
      <c r="U8"/>
    </row>
    <row r="9" spans="1:21" s="16" customFormat="1" ht="12.75">
      <c r="A9">
        <v>73</v>
      </c>
      <c r="B9" s="17">
        <f>0.3048*339</f>
        <v>103.3272</v>
      </c>
      <c r="C9" s="16" t="s">
        <v>401</v>
      </c>
      <c r="E9" s="70" t="s">
        <v>402</v>
      </c>
      <c r="F9" s="70" t="s">
        <v>402</v>
      </c>
      <c r="G9" s="22"/>
      <c r="H9" s="69">
        <v>0.40625</v>
      </c>
      <c r="I9"/>
      <c r="L9"/>
      <c r="Q9"/>
      <c r="R9"/>
      <c r="S9"/>
      <c r="T9"/>
      <c r="U9"/>
    </row>
    <row r="10" spans="1:21" s="16" customFormat="1" ht="12.75">
      <c r="A10">
        <v>98</v>
      </c>
      <c r="B10" s="17">
        <f>0.3048*246</f>
        <v>74.9808</v>
      </c>
      <c r="C10" s="16" t="s">
        <v>403</v>
      </c>
      <c r="D10" s="16" t="s">
        <v>286</v>
      </c>
      <c r="E10" s="39">
        <v>0.4340277777777778</v>
      </c>
      <c r="F10" s="39">
        <v>0.4340277777777778</v>
      </c>
      <c r="G10" s="22"/>
      <c r="H10" s="36" t="s">
        <v>251</v>
      </c>
      <c r="I10"/>
      <c r="L10"/>
      <c r="Q10"/>
      <c r="R10"/>
      <c r="S10"/>
      <c r="T10"/>
      <c r="U10"/>
    </row>
    <row r="11" spans="2:17" ht="12.75">
      <c r="B11" s="17"/>
      <c r="C11" s="16" t="s">
        <v>404</v>
      </c>
      <c r="D11" s="16" t="s">
        <v>286</v>
      </c>
      <c r="E11" s="39">
        <v>0.44375</v>
      </c>
      <c r="F11" s="39">
        <v>0.44375</v>
      </c>
      <c r="G11" s="22"/>
      <c r="H11" s="36" t="s">
        <v>251</v>
      </c>
      <c r="I11"/>
      <c r="L11"/>
      <c r="Q11"/>
    </row>
    <row r="12" spans="1:17" ht="12.75">
      <c r="A12">
        <v>115</v>
      </c>
      <c r="B12" s="17">
        <f>0.3048*232</f>
        <v>70.7136</v>
      </c>
      <c r="C12" s="16" t="s">
        <v>405</v>
      </c>
      <c r="D12" s="16" t="s">
        <v>286</v>
      </c>
      <c r="E12" s="39">
        <v>0.4479166666666667</v>
      </c>
      <c r="F12" s="39">
        <v>0.4479166666666667</v>
      </c>
      <c r="G12" s="22"/>
      <c r="H12" s="36" t="s">
        <v>251</v>
      </c>
      <c r="I12"/>
      <c r="L12"/>
      <c r="Q12"/>
    </row>
    <row r="13" spans="1:17" ht="12.75">
      <c r="A13">
        <v>128</v>
      </c>
      <c r="B13" s="17">
        <f>0.3048*236</f>
        <v>71.9328</v>
      </c>
      <c r="C13" s="16" t="s">
        <v>302</v>
      </c>
      <c r="D13" s="16" t="s">
        <v>286</v>
      </c>
      <c r="E13" s="39">
        <v>0.4548611111111111</v>
      </c>
      <c r="F13" s="39">
        <v>0.4548611111111111</v>
      </c>
      <c r="G13" s="22"/>
      <c r="H13" s="36" t="s">
        <v>251</v>
      </c>
      <c r="I13"/>
      <c r="L13"/>
      <c r="Q13"/>
    </row>
    <row r="14" spans="1:17" ht="12.75">
      <c r="A14">
        <v>142</v>
      </c>
      <c r="B14" s="17">
        <f>0.3048*246</f>
        <v>74.9808</v>
      </c>
      <c r="C14" s="16" t="s">
        <v>406</v>
      </c>
      <c r="D14" s="16" t="s">
        <v>286</v>
      </c>
      <c r="E14" s="39">
        <v>0.46111111111111114</v>
      </c>
      <c r="F14" s="39">
        <v>0.46111111111111114</v>
      </c>
      <c r="G14" s="22"/>
      <c r="H14" s="36" t="s">
        <v>251</v>
      </c>
      <c r="I14"/>
      <c r="L14"/>
      <c r="Q14"/>
    </row>
    <row r="15" spans="1:17" ht="12.75">
      <c r="A15">
        <v>153</v>
      </c>
      <c r="B15" s="17">
        <f>0.3048*282</f>
        <v>85.95360000000001</v>
      </c>
      <c r="C15" s="16" t="s">
        <v>407</v>
      </c>
      <c r="D15" s="16" t="s">
        <v>286</v>
      </c>
      <c r="E15" s="39">
        <v>0.4673611111111111</v>
      </c>
      <c r="F15" s="39">
        <v>0.4673611111111111</v>
      </c>
      <c r="G15" s="22"/>
      <c r="H15" s="36" t="s">
        <v>251</v>
      </c>
      <c r="I15"/>
      <c r="L15"/>
      <c r="Q15"/>
    </row>
    <row r="16" spans="1:9" ht="12.75">
      <c r="A16">
        <v>163</v>
      </c>
      <c r="B16" s="17">
        <f>0.3048*328</f>
        <v>99.9744</v>
      </c>
      <c r="C16" s="16" t="s">
        <v>307</v>
      </c>
      <c r="D16" s="16" t="s">
        <v>286</v>
      </c>
      <c r="E16" s="39">
        <v>0.4736111111111111</v>
      </c>
      <c r="F16" s="39">
        <v>0.4736111111111111</v>
      </c>
      <c r="G16" s="22"/>
      <c r="H16" s="36" t="s">
        <v>251</v>
      </c>
      <c r="I16"/>
    </row>
    <row r="17" spans="1:9" ht="12.75">
      <c r="A17">
        <v>181</v>
      </c>
      <c r="B17" s="17">
        <f>0.3048*354</f>
        <v>107.89920000000001</v>
      </c>
      <c r="C17" s="16" t="s">
        <v>408</v>
      </c>
      <c r="E17" s="39">
        <v>0.4826388888888889</v>
      </c>
      <c r="F17" s="39">
        <v>0.4826388888888889</v>
      </c>
      <c r="G17" s="22"/>
      <c r="H17" s="69">
        <v>0.4756944444444444</v>
      </c>
      <c r="I17" s="71">
        <v>0.5104166666666666</v>
      </c>
    </row>
    <row r="18" spans="1:11" ht="12.75">
      <c r="A18">
        <v>196</v>
      </c>
      <c r="B18" s="17">
        <f>0.3048*461</f>
        <v>140.5128</v>
      </c>
      <c r="C18" s="16" t="s">
        <v>309</v>
      </c>
      <c r="D18" s="16" t="s">
        <v>286</v>
      </c>
      <c r="E18" s="39">
        <v>0.49027777777777776</v>
      </c>
      <c r="F18" s="39">
        <v>0.49027777777777776</v>
      </c>
      <c r="G18" s="22"/>
      <c r="H18" s="36" t="s">
        <v>251</v>
      </c>
      <c r="I18" s="71">
        <v>0.51875</v>
      </c>
      <c r="K18"/>
    </row>
    <row r="19" spans="1:11" ht="12.75">
      <c r="A19">
        <v>216</v>
      </c>
      <c r="B19" s="17">
        <f>0.3048*546</f>
        <v>166.4208</v>
      </c>
      <c r="C19" s="16" t="s">
        <v>250</v>
      </c>
      <c r="D19" s="16" t="s">
        <v>286</v>
      </c>
      <c r="E19" s="39">
        <v>0.5069444444444444</v>
      </c>
      <c r="F19" s="39">
        <v>0.5069444444444444</v>
      </c>
      <c r="G19" s="22"/>
      <c r="H19" s="36" t="s">
        <v>251</v>
      </c>
      <c r="I19" s="71">
        <v>0.5347222222222222</v>
      </c>
      <c r="K19"/>
    </row>
    <row r="20" spans="1:11" ht="12.75">
      <c r="A20">
        <v>231</v>
      </c>
      <c r="B20" s="17">
        <f>0.3048*621</f>
        <v>189.2808</v>
      </c>
      <c r="C20" s="16" t="s">
        <v>310</v>
      </c>
      <c r="D20" s="16" t="s">
        <v>286</v>
      </c>
      <c r="E20" s="39">
        <v>0.51875</v>
      </c>
      <c r="F20" s="39">
        <v>0.51875</v>
      </c>
      <c r="G20" s="22"/>
      <c r="H20" s="36" t="s">
        <v>251</v>
      </c>
      <c r="I20" s="71">
        <v>0.5451388888888888</v>
      </c>
      <c r="K20"/>
    </row>
    <row r="21" spans="1:11" ht="12.75">
      <c r="A21">
        <v>240</v>
      </c>
      <c r="B21" s="17">
        <f>0.3048*731</f>
        <v>222.80880000000002</v>
      </c>
      <c r="C21" s="16" t="s">
        <v>311</v>
      </c>
      <c r="D21" s="16" t="s">
        <v>286</v>
      </c>
      <c r="E21" s="39">
        <v>0.5270833333333333</v>
      </c>
      <c r="F21" s="39">
        <v>0.5270833333333333</v>
      </c>
      <c r="G21" s="22"/>
      <c r="H21" s="36" t="s">
        <v>251</v>
      </c>
      <c r="I21" s="71">
        <v>0.5555555555555556</v>
      </c>
      <c r="K21"/>
    </row>
    <row r="22" spans="1:11" ht="12.75">
      <c r="A22">
        <v>248</v>
      </c>
      <c r="B22" s="17">
        <f>0.3048*879</f>
        <v>267.9192</v>
      </c>
      <c r="C22" s="16" t="s">
        <v>409</v>
      </c>
      <c r="D22" s="16" t="s">
        <v>286</v>
      </c>
      <c r="E22" s="39">
        <v>0.5347222222222222</v>
      </c>
      <c r="F22" s="39">
        <v>0.5347222222222222</v>
      </c>
      <c r="G22" s="22"/>
      <c r="H22" s="36" t="s">
        <v>251</v>
      </c>
      <c r="I22" s="71">
        <v>0.5659722222222222</v>
      </c>
      <c r="K22"/>
    </row>
    <row r="23" spans="1:11" ht="12.75">
      <c r="A23">
        <v>257</v>
      </c>
      <c r="B23" s="17">
        <f>0.3048*1280</f>
        <v>390.144</v>
      </c>
      <c r="C23" s="16" t="s">
        <v>410</v>
      </c>
      <c r="D23" s="16" t="s">
        <v>286</v>
      </c>
      <c r="E23" s="39">
        <v>0.5430555555555555</v>
      </c>
      <c r="F23" s="39">
        <v>0.5430555555555555</v>
      </c>
      <c r="G23" s="22"/>
      <c r="H23" s="36" t="s">
        <v>251</v>
      </c>
      <c r="I23" s="71">
        <v>0.5763888888888888</v>
      </c>
      <c r="K23"/>
    </row>
    <row r="24" spans="1:11" ht="12.75">
      <c r="A24">
        <v>269</v>
      </c>
      <c r="B24" s="17">
        <f>0.3048*1688</f>
        <v>514.5024000000001</v>
      </c>
      <c r="C24" s="16" t="s">
        <v>252</v>
      </c>
      <c r="D24" s="16" t="s">
        <v>286</v>
      </c>
      <c r="E24" s="39">
        <v>0.5555555555555556</v>
      </c>
      <c r="F24" s="39">
        <v>0.5555555555555556</v>
      </c>
      <c r="G24" s="22"/>
      <c r="H24" s="36" t="s">
        <v>251</v>
      </c>
      <c r="I24" s="71">
        <v>0.59375</v>
      </c>
      <c r="K24"/>
    </row>
    <row r="25" spans="3:8" ht="12.75">
      <c r="C25" s="16" t="s">
        <v>411</v>
      </c>
      <c r="D25" s="16" t="s">
        <v>286</v>
      </c>
      <c r="E25" s="39">
        <v>0.5590277777777778</v>
      </c>
      <c r="F25" s="22"/>
      <c r="G25" s="22"/>
      <c r="H25" s="36" t="s">
        <v>251</v>
      </c>
    </row>
    <row r="26" spans="1:8" ht="12.75">
      <c r="A26">
        <v>281</v>
      </c>
      <c r="B26" s="17">
        <f>0.3048*1456</f>
        <v>443.78880000000004</v>
      </c>
      <c r="C26" s="16" t="s">
        <v>314</v>
      </c>
      <c r="D26" s="16" t="s">
        <v>286</v>
      </c>
      <c r="E26" s="39">
        <v>0.5708333333333333</v>
      </c>
      <c r="F26" s="22"/>
      <c r="G26" s="22"/>
      <c r="H26" s="36" t="s">
        <v>251</v>
      </c>
    </row>
    <row r="27" spans="1:8" ht="12.75">
      <c r="A27">
        <v>294</v>
      </c>
      <c r="B27" s="17">
        <f>0.3048*1954</f>
        <v>595.5792</v>
      </c>
      <c r="C27" s="16" t="s">
        <v>412</v>
      </c>
      <c r="D27" s="16" t="s">
        <v>286</v>
      </c>
      <c r="E27" s="39">
        <v>0.5868055555555556</v>
      </c>
      <c r="F27" s="22"/>
      <c r="G27" s="22"/>
      <c r="H27" s="36" t="s">
        <v>251</v>
      </c>
    </row>
    <row r="28" spans="1:17" ht="12.75">
      <c r="A28">
        <v>306</v>
      </c>
      <c r="B28" s="17">
        <f>0.3048*2127</f>
        <v>648.3096</v>
      </c>
      <c r="C28" s="16" t="s">
        <v>413</v>
      </c>
      <c r="D28" s="16" t="s">
        <v>286</v>
      </c>
      <c r="E28" s="39">
        <v>0.5951388888888889</v>
      </c>
      <c r="F28" s="22"/>
      <c r="G28" s="22"/>
      <c r="H28" s="36" t="s">
        <v>251</v>
      </c>
      <c r="I28"/>
      <c r="L28"/>
      <c r="Q28"/>
    </row>
    <row r="29" spans="1:8" ht="12.75">
      <c r="A29">
        <v>319</v>
      </c>
      <c r="B29" s="17">
        <f>0.3048*2337</f>
        <v>712.3176000000001</v>
      </c>
      <c r="C29" s="16" t="s">
        <v>125</v>
      </c>
      <c r="D29" s="16" t="s">
        <v>286</v>
      </c>
      <c r="E29" s="39">
        <v>0.6041666666666666</v>
      </c>
      <c r="F29" s="22"/>
      <c r="G29" s="22"/>
      <c r="H29" s="36" t="s">
        <v>251</v>
      </c>
    </row>
    <row r="30" spans="1:8" ht="12.75">
      <c r="A30">
        <v>330</v>
      </c>
      <c r="B30" s="17">
        <f>0.3048*2212</f>
        <v>674.2176000000001</v>
      </c>
      <c r="C30" s="16" t="s">
        <v>414</v>
      </c>
      <c r="D30" s="16" t="s">
        <v>286</v>
      </c>
      <c r="E30" s="39">
        <v>0.6111111111111112</v>
      </c>
      <c r="F30" s="22"/>
      <c r="G30" s="22"/>
      <c r="H30" s="36" t="s">
        <v>251</v>
      </c>
    </row>
    <row r="31" spans="1:8" ht="12.75">
      <c r="A31">
        <v>342</v>
      </c>
      <c r="B31" s="17">
        <f>0.3048*2056</f>
        <v>626.6688</v>
      </c>
      <c r="C31" s="16" t="s">
        <v>415</v>
      </c>
      <c r="D31" s="16" t="s">
        <v>286</v>
      </c>
      <c r="E31" s="39">
        <v>0.6215277777777778</v>
      </c>
      <c r="F31" s="22"/>
      <c r="G31" s="22"/>
      <c r="H31" s="36" t="s">
        <v>251</v>
      </c>
    </row>
    <row r="32" spans="1:8" ht="12.75">
      <c r="A32">
        <v>354</v>
      </c>
      <c r="B32" s="17">
        <f>0.3048*1957</f>
        <v>596.4936</v>
      </c>
      <c r="C32" s="16" t="s">
        <v>416</v>
      </c>
      <c r="D32" s="16" t="s">
        <v>286</v>
      </c>
      <c r="E32" s="39">
        <v>0.6333333333333333</v>
      </c>
      <c r="F32" s="22"/>
      <c r="G32" s="22"/>
      <c r="H32" s="36" t="s">
        <v>251</v>
      </c>
    </row>
    <row r="33" spans="2:8" ht="12.75">
      <c r="B33" s="17"/>
      <c r="C33" s="16" t="s">
        <v>417</v>
      </c>
      <c r="D33" s="16" t="s">
        <v>286</v>
      </c>
      <c r="E33" s="39">
        <v>0.6458333333333334</v>
      </c>
      <c r="F33" s="22"/>
      <c r="G33" s="22"/>
      <c r="H33" s="36" t="s">
        <v>251</v>
      </c>
    </row>
    <row r="34" spans="1:8" ht="12.75">
      <c r="A34">
        <v>376</v>
      </c>
      <c r="B34" s="17">
        <f>0.3048*1732</f>
        <v>527.9136</v>
      </c>
      <c r="C34" s="16" t="s">
        <v>418</v>
      </c>
      <c r="E34" s="70" t="s">
        <v>419</v>
      </c>
      <c r="F34" s="22"/>
      <c r="G34" s="22"/>
      <c r="H34" s="69">
        <v>0.65625</v>
      </c>
    </row>
    <row r="35" spans="1:8" ht="12.75">
      <c r="A35">
        <v>388</v>
      </c>
      <c r="B35" s="17">
        <f>0.3048*1432</f>
        <v>436.47360000000003</v>
      </c>
      <c r="C35" s="16" t="s">
        <v>319</v>
      </c>
      <c r="D35" s="16" t="s">
        <v>286</v>
      </c>
      <c r="E35" s="39">
        <v>0.6777777777777778</v>
      </c>
      <c r="F35" s="22"/>
      <c r="G35" s="22"/>
      <c r="H35" s="36" t="s">
        <v>251</v>
      </c>
    </row>
    <row r="36" spans="1:8" ht="12.75">
      <c r="A36">
        <v>393</v>
      </c>
      <c r="B36" s="17">
        <f>0.3048*1368</f>
        <v>416.9664</v>
      </c>
      <c r="C36" s="16" t="s">
        <v>420</v>
      </c>
      <c r="D36" s="16" t="s">
        <v>286</v>
      </c>
      <c r="E36" s="39">
        <v>0.6875</v>
      </c>
      <c r="F36" s="22"/>
      <c r="G36" s="22"/>
      <c r="H36" s="36" t="s">
        <v>251</v>
      </c>
    </row>
    <row r="37" spans="2:8" ht="12.75">
      <c r="B37" s="17"/>
      <c r="C37" s="16" t="s">
        <v>421</v>
      </c>
      <c r="D37" s="16" t="s">
        <v>286</v>
      </c>
      <c r="E37" s="39">
        <v>0.6902777777777778</v>
      </c>
      <c r="F37" s="22"/>
      <c r="G37" s="22"/>
      <c r="H37" s="36" t="s">
        <v>251</v>
      </c>
    </row>
    <row r="38" spans="1:8" ht="12.75">
      <c r="A38">
        <v>413</v>
      </c>
      <c r="B38" s="17">
        <f>0.3048*1006</f>
        <v>306.6288</v>
      </c>
      <c r="C38" s="16" t="s">
        <v>321</v>
      </c>
      <c r="D38" s="16" t="s">
        <v>286</v>
      </c>
      <c r="E38" s="39">
        <v>0.6986111111111111</v>
      </c>
      <c r="F38" s="22"/>
      <c r="G38" s="22"/>
      <c r="H38" s="36" t="s">
        <v>251</v>
      </c>
    </row>
    <row r="39" spans="1:8" ht="12.75">
      <c r="A39">
        <v>429</v>
      </c>
      <c r="B39" s="17">
        <f>0.3048*810</f>
        <v>246.888</v>
      </c>
      <c r="C39" s="16" t="s">
        <v>322</v>
      </c>
      <c r="D39" s="16" t="s">
        <v>286</v>
      </c>
      <c r="E39" s="39">
        <v>0.7083333333333334</v>
      </c>
      <c r="F39" s="22"/>
      <c r="G39" s="22"/>
      <c r="H39" s="36" t="s">
        <v>251</v>
      </c>
    </row>
    <row r="40" spans="1:8" ht="12.75">
      <c r="A40">
        <v>448</v>
      </c>
      <c r="B40" s="17">
        <f>0.3048*537</f>
        <v>163.6776</v>
      </c>
      <c r="C40" s="16" t="s">
        <v>323</v>
      </c>
      <c r="D40" s="16" t="s">
        <v>286</v>
      </c>
      <c r="E40" s="39">
        <v>0.71875</v>
      </c>
      <c r="F40" s="22"/>
      <c r="G40" s="22"/>
      <c r="H40" s="36" t="s">
        <v>251</v>
      </c>
    </row>
    <row r="41" spans="1:8" ht="12.75">
      <c r="A41">
        <v>479</v>
      </c>
      <c r="B41" s="17">
        <f>0.3048*362</f>
        <v>110.33760000000001</v>
      </c>
      <c r="C41" s="16" t="s">
        <v>422</v>
      </c>
      <c r="D41" s="16" t="s">
        <v>286</v>
      </c>
      <c r="E41" s="39">
        <v>0.7395833333333334</v>
      </c>
      <c r="F41" s="22"/>
      <c r="G41" s="22"/>
      <c r="H41" s="36" t="s">
        <v>251</v>
      </c>
    </row>
    <row r="42" spans="1:8" ht="12.75">
      <c r="A42">
        <v>484</v>
      </c>
      <c r="B42" s="17">
        <f>0.3048*367</f>
        <v>111.86160000000001</v>
      </c>
      <c r="C42" s="16" t="s">
        <v>325</v>
      </c>
      <c r="D42" s="16" t="s">
        <v>286</v>
      </c>
      <c r="E42" s="39">
        <v>0.7451388888888889</v>
      </c>
      <c r="F42" s="22"/>
      <c r="G42" s="22"/>
      <c r="H42" s="36" t="s">
        <v>251</v>
      </c>
    </row>
    <row r="43" spans="2:8" ht="12.75">
      <c r="B43" s="17"/>
      <c r="C43" s="16" t="s">
        <v>423</v>
      </c>
      <c r="D43" s="16" t="s">
        <v>286</v>
      </c>
      <c r="E43" s="39">
        <v>0.7506944444444444</v>
      </c>
      <c r="F43" s="22"/>
      <c r="G43" s="22"/>
      <c r="H43" s="36" t="s">
        <v>251</v>
      </c>
    </row>
    <row r="44" spans="1:8" ht="12.75">
      <c r="A44">
        <v>511</v>
      </c>
      <c r="B44" s="17">
        <f>0.3048*368</f>
        <v>112.16640000000001</v>
      </c>
      <c r="C44" s="16" t="s">
        <v>327</v>
      </c>
      <c r="D44" s="16" t="s">
        <v>286</v>
      </c>
      <c r="E44" s="39">
        <v>0.7604166666666666</v>
      </c>
      <c r="F44" s="22"/>
      <c r="G44" s="22"/>
      <c r="H44" s="36" t="s">
        <v>251</v>
      </c>
    </row>
    <row r="45" spans="1:8" ht="12.75">
      <c r="A45">
        <v>523</v>
      </c>
      <c r="B45" s="17">
        <f>0.3048*406</f>
        <v>123.7488</v>
      </c>
      <c r="C45" s="16" t="s">
        <v>328</v>
      </c>
      <c r="D45" s="16" t="s">
        <v>286</v>
      </c>
      <c r="E45" s="39">
        <v>0.7708333333333334</v>
      </c>
      <c r="F45" s="22"/>
      <c r="G45" s="22"/>
      <c r="H45" s="36" t="s">
        <v>251</v>
      </c>
    </row>
    <row r="46" spans="1:8" ht="12.75">
      <c r="A46">
        <v>541</v>
      </c>
      <c r="B46" s="17">
        <f>0.3048*465</f>
        <v>141.732</v>
      </c>
      <c r="C46" s="16" t="s">
        <v>329</v>
      </c>
      <c r="D46" s="16" t="s">
        <v>286</v>
      </c>
      <c r="E46" s="39">
        <v>0.7833333333333333</v>
      </c>
      <c r="F46" s="22"/>
      <c r="G46" s="22"/>
      <c r="H46" s="36" t="s">
        <v>251</v>
      </c>
    </row>
    <row r="47" spans="1:8" ht="12.75">
      <c r="A47">
        <v>550</v>
      </c>
      <c r="B47" s="17">
        <f>0.3048*520</f>
        <v>158.496</v>
      </c>
      <c r="C47" s="16" t="s">
        <v>330</v>
      </c>
      <c r="D47" s="16" t="s">
        <v>286</v>
      </c>
      <c r="E47" s="39">
        <v>0.7951388888888888</v>
      </c>
      <c r="F47" s="22"/>
      <c r="G47" s="22"/>
      <c r="H47" s="36" t="s">
        <v>251</v>
      </c>
    </row>
    <row r="48" spans="1:11" ht="12.75">
      <c r="A48">
        <v>573</v>
      </c>
      <c r="B48" s="17">
        <f>0.3048*448</f>
        <v>136.5504</v>
      </c>
      <c r="C48" s="16" t="s">
        <v>424</v>
      </c>
      <c r="D48" s="16" t="s">
        <v>246</v>
      </c>
      <c r="E48" s="39">
        <v>0.8333333333333334</v>
      </c>
      <c r="F48" s="22"/>
      <c r="G48" s="22"/>
      <c r="H48" s="69">
        <v>0.84375</v>
      </c>
      <c r="K48"/>
    </row>
    <row r="49" spans="1:8" ht="12.75">
      <c r="A49" s="19"/>
      <c r="C49" s="19" t="s">
        <v>290</v>
      </c>
      <c r="E49" s="22"/>
      <c r="F49" s="22"/>
      <c r="G49" s="22"/>
      <c r="H49" s="22"/>
    </row>
    <row r="50" spans="3:8" ht="12.75">
      <c r="C50" s="16" t="s">
        <v>424</v>
      </c>
      <c r="E50" s="22"/>
      <c r="F50" s="22"/>
      <c r="G50" s="22"/>
      <c r="H50" s="22"/>
    </row>
    <row r="51" spans="3:8" ht="12.75">
      <c r="C51" s="16" t="s">
        <v>425</v>
      </c>
      <c r="E51" s="22"/>
      <c r="F51" s="22"/>
      <c r="G51" s="22"/>
      <c r="H51" s="22"/>
    </row>
    <row r="52" spans="3:8" ht="12.75">
      <c r="C52" s="16" t="s">
        <v>426</v>
      </c>
      <c r="E52" s="22"/>
      <c r="F52" s="22"/>
      <c r="G52" s="22"/>
      <c r="H52" s="22"/>
    </row>
    <row r="53" spans="3:9" ht="12.75">
      <c r="C53" s="16" t="s">
        <v>427</v>
      </c>
      <c r="E53"/>
      <c r="F53"/>
      <c r="G53"/>
      <c r="H53"/>
      <c r="I53"/>
    </row>
    <row r="54" spans="3:9" ht="12.75">
      <c r="C54" s="16" t="s">
        <v>428</v>
      </c>
      <c r="E54"/>
      <c r="F54"/>
      <c r="G54"/>
      <c r="H54"/>
      <c r="I54"/>
    </row>
    <row r="55" spans="3:9" ht="12.75">
      <c r="C55" s="16" t="s">
        <v>429</v>
      </c>
      <c r="E55"/>
      <c r="F55"/>
      <c r="G55" s="22"/>
      <c r="H55"/>
      <c r="I55"/>
    </row>
    <row r="56" spans="5:9" ht="12.75">
      <c r="E56">
        <v>9</v>
      </c>
      <c r="F56">
        <v>9</v>
      </c>
      <c r="G56" s="22"/>
      <c r="H56">
        <v>1</v>
      </c>
      <c r="I56">
        <v>3</v>
      </c>
    </row>
    <row r="57" spans="5:9" ht="12.75">
      <c r="E57" s="65" t="s">
        <v>57</v>
      </c>
      <c r="F57" s="66" t="s">
        <v>88</v>
      </c>
      <c r="H57" s="67" t="s">
        <v>83</v>
      </c>
      <c r="I57" s="66" t="s">
        <v>88</v>
      </c>
    </row>
    <row r="58" spans="1:9" ht="12.75">
      <c r="A58" s="50" t="s">
        <v>2</v>
      </c>
      <c r="B58" s="36" t="s">
        <v>222</v>
      </c>
      <c r="C58" s="68" t="s">
        <v>394</v>
      </c>
      <c r="E58" s="23" t="s">
        <v>42</v>
      </c>
      <c r="F58" s="23" t="s">
        <v>395</v>
      </c>
      <c r="G58" s="22"/>
      <c r="H58" s="23" t="s">
        <v>84</v>
      </c>
      <c r="I58" s="21" t="s">
        <v>89</v>
      </c>
    </row>
    <row r="59" spans="3:9" ht="12.75">
      <c r="C59" s="42" t="s">
        <v>237</v>
      </c>
      <c r="E59" s="23" t="s">
        <v>396</v>
      </c>
      <c r="F59" s="50" t="s">
        <v>90</v>
      </c>
      <c r="G59" s="22"/>
      <c r="H59" s="23" t="s">
        <v>396</v>
      </c>
      <c r="I59" s="50" t="s">
        <v>90</v>
      </c>
    </row>
    <row r="60" spans="1:9" ht="12.75">
      <c r="A60" s="17">
        <f>A48-A48</f>
        <v>0</v>
      </c>
      <c r="B60" s="17">
        <f>B48-B48</f>
        <v>0</v>
      </c>
      <c r="C60" s="16" t="s">
        <v>424</v>
      </c>
      <c r="D60" s="16" t="s">
        <v>241</v>
      </c>
      <c r="E60" s="39">
        <v>0.3541666666666667</v>
      </c>
      <c r="F60" s="22"/>
      <c r="G60" s="22"/>
      <c r="H60" s="69">
        <v>0.34375</v>
      </c>
      <c r="I60"/>
    </row>
    <row r="61" spans="1:8" ht="12.75">
      <c r="A61" s="17">
        <f>A48-A47</f>
        <v>23</v>
      </c>
      <c r="B61" s="17">
        <f>B47</f>
        <v>158.496</v>
      </c>
      <c r="C61" s="16" t="s">
        <v>330</v>
      </c>
      <c r="D61" s="16" t="s">
        <v>286</v>
      </c>
      <c r="E61" s="39">
        <v>0.37777777777777777</v>
      </c>
      <c r="F61" s="22"/>
      <c r="G61" s="22"/>
      <c r="H61" s="36" t="s">
        <v>251</v>
      </c>
    </row>
    <row r="62" spans="1:8" ht="12.75">
      <c r="A62" s="17">
        <f>A48-A46</f>
        <v>32</v>
      </c>
      <c r="B62" s="17">
        <f>B46</f>
        <v>141.732</v>
      </c>
      <c r="C62" s="16" t="s">
        <v>329</v>
      </c>
      <c r="D62" s="16" t="s">
        <v>286</v>
      </c>
      <c r="E62" s="39">
        <v>0.3861111111111111</v>
      </c>
      <c r="F62" s="22"/>
      <c r="G62" s="22"/>
      <c r="H62" s="36" t="s">
        <v>251</v>
      </c>
    </row>
    <row r="63" spans="1:8" ht="12.75">
      <c r="A63" s="17">
        <f>A48-A45</f>
        <v>50</v>
      </c>
      <c r="B63" s="17">
        <f>B45</f>
        <v>123.7488</v>
      </c>
      <c r="C63" s="16" t="s">
        <v>328</v>
      </c>
      <c r="D63" s="16" t="s">
        <v>286</v>
      </c>
      <c r="E63" s="39">
        <v>0.3972222222222222</v>
      </c>
      <c r="F63" s="22"/>
      <c r="G63" s="22"/>
      <c r="H63" s="36" t="s">
        <v>251</v>
      </c>
    </row>
    <row r="64" spans="1:8" ht="12.75">
      <c r="A64" s="17">
        <f>A48-A44</f>
        <v>62</v>
      </c>
      <c r="B64" s="17">
        <f>B44</f>
        <v>112.16640000000001</v>
      </c>
      <c r="C64" s="16" t="s">
        <v>327</v>
      </c>
      <c r="D64" s="16" t="s">
        <v>286</v>
      </c>
      <c r="E64" s="39">
        <v>0.40347222222222223</v>
      </c>
      <c r="F64" s="22"/>
      <c r="G64" s="22"/>
      <c r="H64" s="36" t="s">
        <v>251</v>
      </c>
    </row>
    <row r="65" spans="3:8" ht="12.75">
      <c r="C65" s="16" t="s">
        <v>423</v>
      </c>
      <c r="D65" s="16" t="s">
        <v>286</v>
      </c>
      <c r="E65" s="39">
        <v>0.4125</v>
      </c>
      <c r="F65" s="22"/>
      <c r="G65" s="22"/>
      <c r="H65" s="36" t="s">
        <v>251</v>
      </c>
    </row>
    <row r="66" spans="1:8" ht="12.75">
      <c r="A66" s="17">
        <f>A48-A42</f>
        <v>89</v>
      </c>
      <c r="B66" s="17">
        <f>B42</f>
        <v>111.86160000000001</v>
      </c>
      <c r="C66" s="16" t="s">
        <v>325</v>
      </c>
      <c r="D66" s="16" t="s">
        <v>286</v>
      </c>
      <c r="E66" s="39">
        <v>0.41805555555555557</v>
      </c>
      <c r="F66" s="22"/>
      <c r="G66" s="22"/>
      <c r="H66" s="36" t="s">
        <v>251</v>
      </c>
    </row>
    <row r="67" spans="1:8" ht="12.75">
      <c r="A67" s="17">
        <f>A48-A41</f>
        <v>94</v>
      </c>
      <c r="B67" s="17">
        <f>B41</f>
        <v>110.33760000000001</v>
      </c>
      <c r="C67" s="16" t="s">
        <v>422</v>
      </c>
      <c r="D67" s="16" t="s">
        <v>286</v>
      </c>
      <c r="E67" s="39">
        <v>0.425</v>
      </c>
      <c r="F67" s="22"/>
      <c r="G67" s="22"/>
      <c r="H67" s="36" t="s">
        <v>251</v>
      </c>
    </row>
    <row r="68" spans="1:8" ht="12.75">
      <c r="A68" s="17">
        <f>A48-A40</f>
        <v>125</v>
      </c>
      <c r="B68" s="17">
        <f>B40</f>
        <v>163.6776</v>
      </c>
      <c r="C68" s="16" t="s">
        <v>323</v>
      </c>
      <c r="D68" s="16" t="s">
        <v>286</v>
      </c>
      <c r="E68" s="39">
        <v>0.44583333333333336</v>
      </c>
      <c r="F68" s="22"/>
      <c r="G68" s="22"/>
      <c r="H68" s="36" t="s">
        <v>251</v>
      </c>
    </row>
    <row r="69" spans="1:8" ht="12.75">
      <c r="A69" s="17">
        <f>A48-A39</f>
        <v>144</v>
      </c>
      <c r="B69" s="17">
        <f>B39</f>
        <v>246.888</v>
      </c>
      <c r="C69" s="16" t="s">
        <v>322</v>
      </c>
      <c r="D69" s="16" t="s">
        <v>286</v>
      </c>
      <c r="E69" s="39">
        <v>0.45625</v>
      </c>
      <c r="F69" s="22"/>
      <c r="G69" s="22"/>
      <c r="H69" s="36" t="s">
        <v>251</v>
      </c>
    </row>
    <row r="70" spans="1:8" ht="12.75">
      <c r="A70" s="17">
        <f>A48-A38</f>
        <v>160</v>
      </c>
      <c r="B70" s="17">
        <f>B38</f>
        <v>306.6288</v>
      </c>
      <c r="C70" s="16" t="s">
        <v>321</v>
      </c>
      <c r="D70" s="16" t="s">
        <v>286</v>
      </c>
      <c r="E70" s="39">
        <v>0.46597222222222223</v>
      </c>
      <c r="F70" s="22"/>
      <c r="G70" s="22"/>
      <c r="H70" s="36" t="s">
        <v>251</v>
      </c>
    </row>
    <row r="71" spans="1:8" ht="12.75">
      <c r="A71" s="17"/>
      <c r="B71" s="17"/>
      <c r="C71" s="16" t="s">
        <v>421</v>
      </c>
      <c r="D71" s="16" t="s">
        <v>286</v>
      </c>
      <c r="E71" s="39">
        <v>0.4756944444444444</v>
      </c>
      <c r="F71" s="22"/>
      <c r="G71" s="22"/>
      <c r="H71" s="36" t="s">
        <v>251</v>
      </c>
    </row>
    <row r="72" spans="1:8" ht="12.75">
      <c r="A72" s="17">
        <f>A48-A36</f>
        <v>180</v>
      </c>
      <c r="B72" s="17">
        <f>B36</f>
        <v>416.9664</v>
      </c>
      <c r="C72" s="16" t="s">
        <v>420</v>
      </c>
      <c r="E72" s="39">
        <v>0.4791666666666667</v>
      </c>
      <c r="F72" s="22"/>
      <c r="G72" s="22"/>
      <c r="H72" s="36" t="s">
        <v>251</v>
      </c>
    </row>
    <row r="73" spans="1:8" ht="12.75">
      <c r="A73" s="17">
        <f>A48-A35</f>
        <v>185</v>
      </c>
      <c r="B73" s="17">
        <f>B35</f>
        <v>436.47360000000003</v>
      </c>
      <c r="C73" s="16" t="s">
        <v>319</v>
      </c>
      <c r="D73" s="16" t="s">
        <v>286</v>
      </c>
      <c r="E73" s="39">
        <v>0.4895833333333333</v>
      </c>
      <c r="F73" s="22"/>
      <c r="G73" s="22"/>
      <c r="H73" s="36" t="s">
        <v>251</v>
      </c>
    </row>
    <row r="74" spans="1:8" ht="12.75">
      <c r="A74" s="17">
        <f>A48-A34</f>
        <v>197</v>
      </c>
      <c r="B74" s="17">
        <f>B34</f>
        <v>527.9136</v>
      </c>
      <c r="C74" s="16" t="s">
        <v>418</v>
      </c>
      <c r="E74" s="70" t="s">
        <v>430</v>
      </c>
      <c r="F74" s="22"/>
      <c r="G74" s="22"/>
      <c r="H74" s="69">
        <v>0.5</v>
      </c>
    </row>
    <row r="75" spans="1:8" ht="12.75">
      <c r="A75" s="17"/>
      <c r="B75" s="17"/>
      <c r="C75" s="16" t="s">
        <v>417</v>
      </c>
      <c r="D75" s="16" t="s">
        <v>286</v>
      </c>
      <c r="E75" s="39">
        <v>0.5145833333333333</v>
      </c>
      <c r="F75" s="22"/>
      <c r="G75" s="22"/>
      <c r="H75" s="36" t="s">
        <v>251</v>
      </c>
    </row>
    <row r="76" spans="1:8" ht="12.75">
      <c r="A76" s="17">
        <f>A48-A32</f>
        <v>219</v>
      </c>
      <c r="B76" s="17">
        <f>B32</f>
        <v>596.4936</v>
      </c>
      <c r="C76" s="16" t="s">
        <v>416</v>
      </c>
      <c r="D76" s="16" t="s">
        <v>286</v>
      </c>
      <c r="E76" s="39">
        <v>0.5208333333333334</v>
      </c>
      <c r="F76" s="22"/>
      <c r="G76" s="22"/>
      <c r="H76" s="36" t="s">
        <v>251</v>
      </c>
    </row>
    <row r="77" spans="1:8" ht="12.75">
      <c r="A77" s="17">
        <f>A48-A31</f>
        <v>231</v>
      </c>
      <c r="B77" s="17">
        <f>B31</f>
        <v>626.6688</v>
      </c>
      <c r="C77" s="16" t="s">
        <v>415</v>
      </c>
      <c r="D77" s="16" t="s">
        <v>286</v>
      </c>
      <c r="E77" s="39">
        <v>0.5326388888888889</v>
      </c>
      <c r="F77" s="22"/>
      <c r="G77" s="22"/>
      <c r="H77" s="36" t="s">
        <v>251</v>
      </c>
    </row>
    <row r="78" spans="1:8" ht="12.75">
      <c r="A78" s="17">
        <f>A48-A30</f>
        <v>243</v>
      </c>
      <c r="B78" s="17">
        <f>B30</f>
        <v>674.2176000000001</v>
      </c>
      <c r="C78" s="16" t="s">
        <v>414</v>
      </c>
      <c r="D78" s="16" t="s">
        <v>286</v>
      </c>
      <c r="E78" s="39">
        <v>0.5430555555555555</v>
      </c>
      <c r="F78" s="22"/>
      <c r="G78" s="22"/>
      <c r="H78" s="36" t="s">
        <v>251</v>
      </c>
    </row>
    <row r="79" spans="1:8" ht="12.75">
      <c r="A79" s="17">
        <f>A48-A29</f>
        <v>254</v>
      </c>
      <c r="B79" s="17">
        <f>B29</f>
        <v>712.3176000000001</v>
      </c>
      <c r="C79" s="16" t="s">
        <v>125</v>
      </c>
      <c r="D79" s="16" t="s">
        <v>286</v>
      </c>
      <c r="E79" s="39">
        <v>0.55</v>
      </c>
      <c r="F79" s="22"/>
      <c r="G79" s="22"/>
      <c r="H79" s="36" t="s">
        <v>251</v>
      </c>
    </row>
    <row r="80" spans="1:8" ht="12.75">
      <c r="A80" s="17">
        <f>A48-A28</f>
        <v>267</v>
      </c>
      <c r="B80" s="17">
        <f>B28</f>
        <v>648.3096</v>
      </c>
      <c r="C80" s="16" t="s">
        <v>431</v>
      </c>
      <c r="D80" s="16" t="s">
        <v>286</v>
      </c>
      <c r="E80" s="39">
        <v>0.5576388888888889</v>
      </c>
      <c r="F80" s="22"/>
      <c r="G80" s="22"/>
      <c r="H80" s="36" t="s">
        <v>251</v>
      </c>
    </row>
    <row r="81" spans="1:8" ht="12.75">
      <c r="A81" s="17">
        <f>A48-A27</f>
        <v>279</v>
      </c>
      <c r="B81" s="17">
        <f>B27</f>
        <v>595.5792</v>
      </c>
      <c r="C81" s="16" t="s">
        <v>412</v>
      </c>
      <c r="D81" s="16" t="s">
        <v>286</v>
      </c>
      <c r="E81" s="39">
        <v>0.5659722222222222</v>
      </c>
      <c r="F81" s="22"/>
      <c r="G81" s="22"/>
      <c r="H81" s="36" t="s">
        <v>251</v>
      </c>
    </row>
    <row r="82" spans="1:8" ht="12.75">
      <c r="A82" s="17">
        <f>A48-A26</f>
        <v>292</v>
      </c>
      <c r="B82" s="17">
        <f>B26</f>
        <v>443.78880000000004</v>
      </c>
      <c r="C82" s="16" t="s">
        <v>314</v>
      </c>
      <c r="D82" s="16" t="s">
        <v>286</v>
      </c>
      <c r="E82" s="39">
        <v>0.5798611111111112</v>
      </c>
      <c r="F82" s="22"/>
      <c r="G82" s="22"/>
      <c r="H82" s="36" t="s">
        <v>251</v>
      </c>
    </row>
    <row r="83" spans="3:11" ht="12.75">
      <c r="C83" s="16" t="s">
        <v>411</v>
      </c>
      <c r="D83" s="16" t="s">
        <v>286</v>
      </c>
      <c r="E83" s="39">
        <v>0.59375</v>
      </c>
      <c r="F83" s="22"/>
      <c r="G83" s="22"/>
      <c r="H83" s="36" t="s">
        <v>251</v>
      </c>
      <c r="I83"/>
      <c r="K83"/>
    </row>
    <row r="84" spans="1:11" ht="12.75">
      <c r="A84" s="17">
        <f>A48-A24</f>
        <v>304</v>
      </c>
      <c r="B84" s="17">
        <f>B24</f>
        <v>514.5024000000001</v>
      </c>
      <c r="C84" s="16" t="s">
        <v>252</v>
      </c>
      <c r="D84" s="16" t="s">
        <v>286</v>
      </c>
      <c r="E84" s="39">
        <v>0.5972222222222222</v>
      </c>
      <c r="F84" s="39">
        <v>0.5798611111111112</v>
      </c>
      <c r="G84" s="22"/>
      <c r="H84" s="36" t="s">
        <v>251</v>
      </c>
      <c r="I84" s="71">
        <v>0.6458333333333334</v>
      </c>
      <c r="K84"/>
    </row>
    <row r="85" spans="1:11" ht="12.75">
      <c r="A85" s="17">
        <f>A48-A23</f>
        <v>316</v>
      </c>
      <c r="B85" s="17">
        <f>B23</f>
        <v>390.144</v>
      </c>
      <c r="C85" s="16" t="s">
        <v>410</v>
      </c>
      <c r="D85" s="16" t="s">
        <v>286</v>
      </c>
      <c r="E85" s="39">
        <v>0.6090277777777777</v>
      </c>
      <c r="F85" s="39">
        <v>0.5923611111111111</v>
      </c>
      <c r="G85" s="22"/>
      <c r="H85" s="36" t="s">
        <v>251</v>
      </c>
      <c r="I85" s="71">
        <v>0.6631944444444444</v>
      </c>
      <c r="K85"/>
    </row>
    <row r="86" spans="1:11" ht="12.75">
      <c r="A86" s="17">
        <f>A48-A22</f>
        <v>325</v>
      </c>
      <c r="B86" s="17">
        <f>B22</f>
        <v>267.9192</v>
      </c>
      <c r="C86" s="16" t="s">
        <v>409</v>
      </c>
      <c r="D86" s="16" t="s">
        <v>286</v>
      </c>
      <c r="E86" s="39">
        <v>0.6180555555555556</v>
      </c>
      <c r="F86" s="39">
        <v>0.6006944444444444</v>
      </c>
      <c r="G86" s="22"/>
      <c r="H86" s="36" t="s">
        <v>251</v>
      </c>
      <c r="I86" s="71">
        <v>0.6736111111111112</v>
      </c>
      <c r="K86"/>
    </row>
    <row r="87" spans="1:11" ht="12.75">
      <c r="A87" s="17">
        <f>A48-A21</f>
        <v>333</v>
      </c>
      <c r="B87" s="17">
        <f>B21</f>
        <v>222.80880000000002</v>
      </c>
      <c r="C87" s="16" t="s">
        <v>311</v>
      </c>
      <c r="D87" s="16" t="s">
        <v>286</v>
      </c>
      <c r="E87" s="39">
        <v>0.625</v>
      </c>
      <c r="F87" s="39">
        <v>0.6083333333333333</v>
      </c>
      <c r="G87" s="22"/>
      <c r="H87" s="36" t="s">
        <v>251</v>
      </c>
      <c r="I87" s="71">
        <v>0.6875</v>
      </c>
      <c r="K87"/>
    </row>
    <row r="88" spans="1:11" ht="12.75">
      <c r="A88" s="17">
        <f>A48-A20</f>
        <v>342</v>
      </c>
      <c r="B88" s="17">
        <f>B20</f>
        <v>189.2808</v>
      </c>
      <c r="C88" s="16" t="s">
        <v>310</v>
      </c>
      <c r="D88" s="16" t="s">
        <v>286</v>
      </c>
      <c r="E88" s="39">
        <v>0.6333333333333333</v>
      </c>
      <c r="F88" s="39">
        <v>0.6166666666666667</v>
      </c>
      <c r="G88" s="22"/>
      <c r="H88" s="36" t="s">
        <v>251</v>
      </c>
      <c r="I88" s="71">
        <v>0.6979166666666666</v>
      </c>
      <c r="K88"/>
    </row>
    <row r="89" spans="1:11" ht="12.75">
      <c r="A89" s="17">
        <f>A48-A19</f>
        <v>357</v>
      </c>
      <c r="B89" s="17">
        <f>B19</f>
        <v>166.4208</v>
      </c>
      <c r="C89" s="16" t="s">
        <v>250</v>
      </c>
      <c r="D89" s="16" t="s">
        <v>286</v>
      </c>
      <c r="E89" s="39">
        <v>0.6381944444444444</v>
      </c>
      <c r="F89" s="39">
        <v>0.6284722222222222</v>
      </c>
      <c r="G89" s="22"/>
      <c r="H89" s="36" t="s">
        <v>251</v>
      </c>
      <c r="I89" s="71">
        <v>0.7083333333333334</v>
      </c>
      <c r="K89"/>
    </row>
    <row r="90" spans="1:11" ht="12.75">
      <c r="A90" s="17">
        <f>A48-A18</f>
        <v>377</v>
      </c>
      <c r="B90" s="17">
        <f>B18</f>
        <v>140.5128</v>
      </c>
      <c r="C90" s="16" t="s">
        <v>309</v>
      </c>
      <c r="D90" s="16" t="s">
        <v>286</v>
      </c>
      <c r="E90" s="39">
        <v>0.6631944444444444</v>
      </c>
      <c r="F90" s="39">
        <v>0.6451388888888889</v>
      </c>
      <c r="G90" s="22"/>
      <c r="H90" s="36" t="s">
        <v>251</v>
      </c>
      <c r="I90" s="71">
        <v>0.7243055555555555</v>
      </c>
      <c r="K90"/>
    </row>
    <row r="91" spans="1:9" ht="12.75">
      <c r="A91" s="17">
        <f>A48-A17</f>
        <v>392</v>
      </c>
      <c r="B91" s="17">
        <f>B17</f>
        <v>107.89920000000001</v>
      </c>
      <c r="C91" s="16" t="s">
        <v>249</v>
      </c>
      <c r="E91" s="70" t="s">
        <v>432</v>
      </c>
      <c r="F91" s="70" t="s">
        <v>433</v>
      </c>
      <c r="G91" s="22"/>
      <c r="H91" s="69">
        <v>0.6944444444444444</v>
      </c>
      <c r="I91" s="71">
        <v>0.7395833333333334</v>
      </c>
    </row>
    <row r="92" spans="1:8" ht="12.75">
      <c r="A92" s="17">
        <f>A48-A16</f>
        <v>410</v>
      </c>
      <c r="B92" s="17">
        <f>B16</f>
        <v>99.9744</v>
      </c>
      <c r="C92" s="16" t="s">
        <v>307</v>
      </c>
      <c r="D92" s="16" t="s">
        <v>286</v>
      </c>
      <c r="E92" s="39">
        <v>0.6944444444444444</v>
      </c>
      <c r="F92" s="39">
        <v>0.6666666666666666</v>
      </c>
      <c r="G92" s="22"/>
      <c r="H92" s="36" t="s">
        <v>251</v>
      </c>
    </row>
    <row r="93" spans="1:8" ht="12.75">
      <c r="A93" s="17">
        <f>A48-A15</f>
        <v>420</v>
      </c>
      <c r="B93" s="17">
        <f>B15</f>
        <v>85.95360000000001</v>
      </c>
      <c r="C93" s="16" t="s">
        <v>434</v>
      </c>
      <c r="D93" s="16" t="s">
        <v>286</v>
      </c>
      <c r="E93" s="39">
        <v>0.7</v>
      </c>
      <c r="F93" s="39">
        <v>0.6729166666666667</v>
      </c>
      <c r="G93" s="22"/>
      <c r="H93" s="36" t="s">
        <v>251</v>
      </c>
    </row>
    <row r="94" spans="1:8" ht="12.75">
      <c r="A94" s="17">
        <f>A48-A14</f>
        <v>431</v>
      </c>
      <c r="B94" s="17">
        <f>B14</f>
        <v>74.9808</v>
      </c>
      <c r="C94" s="16" t="s">
        <v>406</v>
      </c>
      <c r="D94" s="16" t="s">
        <v>286</v>
      </c>
      <c r="E94" s="39">
        <v>0.70625</v>
      </c>
      <c r="F94" s="39">
        <v>0.6791666666666667</v>
      </c>
      <c r="G94" s="22"/>
      <c r="H94" s="36" t="s">
        <v>251</v>
      </c>
    </row>
    <row r="95" spans="1:8" ht="12.75">
      <c r="A95" s="17">
        <f>A48-A13</f>
        <v>445</v>
      </c>
      <c r="B95" s="17">
        <f>B13</f>
        <v>71.9328</v>
      </c>
      <c r="C95" s="16" t="s">
        <v>302</v>
      </c>
      <c r="D95" s="16" t="s">
        <v>286</v>
      </c>
      <c r="E95" s="39">
        <v>0.7131944444444445</v>
      </c>
      <c r="F95" s="39">
        <v>0.6854166666666667</v>
      </c>
      <c r="G95" s="22"/>
      <c r="H95" s="36" t="s">
        <v>251</v>
      </c>
    </row>
    <row r="96" spans="1:8" ht="12.75">
      <c r="A96" s="17">
        <f>A48-A12</f>
        <v>458</v>
      </c>
      <c r="B96" s="17">
        <f>B12</f>
        <v>70.7136</v>
      </c>
      <c r="C96" s="16" t="s">
        <v>405</v>
      </c>
      <c r="D96" s="16" t="s">
        <v>286</v>
      </c>
      <c r="E96" s="39">
        <v>0.725</v>
      </c>
      <c r="F96" s="39">
        <v>0.6923611111111111</v>
      </c>
      <c r="G96" s="22"/>
      <c r="H96" s="36" t="s">
        <v>251</v>
      </c>
    </row>
    <row r="97" spans="1:8" ht="12.75">
      <c r="A97" s="17"/>
      <c r="B97" s="17"/>
      <c r="C97" s="16" t="s">
        <v>404</v>
      </c>
      <c r="D97" s="16" t="s">
        <v>286</v>
      </c>
      <c r="E97" s="39">
        <v>0.7277777777777777</v>
      </c>
      <c r="F97" s="39">
        <v>0.6965277777777777</v>
      </c>
      <c r="G97" s="22"/>
      <c r="H97" s="36" t="s">
        <v>251</v>
      </c>
    </row>
    <row r="98" spans="1:8" ht="12.75">
      <c r="A98" s="17">
        <f>A48-A10</f>
        <v>475</v>
      </c>
      <c r="B98" s="17">
        <f>B10</f>
        <v>74.9808</v>
      </c>
      <c r="C98" s="16" t="s">
        <v>403</v>
      </c>
      <c r="D98" s="16" t="s">
        <v>286</v>
      </c>
      <c r="E98" s="39">
        <v>0.7368055555555556</v>
      </c>
      <c r="F98" s="39">
        <v>0.7041666666666667</v>
      </c>
      <c r="G98" s="22"/>
      <c r="H98" s="36" t="s">
        <v>251</v>
      </c>
    </row>
    <row r="99" spans="1:8" ht="12.75">
      <c r="A99" s="17">
        <f>A48-A9</f>
        <v>500</v>
      </c>
      <c r="B99" s="17">
        <f>B9</f>
        <v>103.3272</v>
      </c>
      <c r="C99" s="16" t="s">
        <v>401</v>
      </c>
      <c r="E99" s="70" t="s">
        <v>435</v>
      </c>
      <c r="F99" s="70" t="s">
        <v>436</v>
      </c>
      <c r="G99" s="22"/>
      <c r="H99" s="69">
        <v>0.7534722222222222</v>
      </c>
    </row>
    <row r="100" spans="1:8" ht="12.75">
      <c r="A100" s="17">
        <f>A48-A8</f>
        <v>514</v>
      </c>
      <c r="B100" s="17">
        <f>B8</f>
        <v>10.972800000000001</v>
      </c>
      <c r="C100" s="16" t="s">
        <v>437</v>
      </c>
      <c r="D100" s="16" t="s">
        <v>286</v>
      </c>
      <c r="E100" s="39">
        <v>0.7673611111111112</v>
      </c>
      <c r="F100" s="39">
        <v>0.7319444444444444</v>
      </c>
      <c r="G100" s="22"/>
      <c r="H100" s="36" t="s">
        <v>251</v>
      </c>
    </row>
    <row r="101" spans="1:8" ht="12.75">
      <c r="A101" s="17">
        <f>A48-A7</f>
        <v>530</v>
      </c>
      <c r="B101" s="17">
        <f>B7</f>
        <v>15.24</v>
      </c>
      <c r="C101" s="16" t="s">
        <v>399</v>
      </c>
      <c r="D101" s="16" t="s">
        <v>286</v>
      </c>
      <c r="E101" s="39">
        <v>0.78125</v>
      </c>
      <c r="F101" s="39">
        <v>0.7409722222222223</v>
      </c>
      <c r="G101" s="22"/>
      <c r="H101" s="36" t="s">
        <v>251</v>
      </c>
    </row>
    <row r="102" spans="1:8" ht="12.75">
      <c r="A102" s="17">
        <f>A48-A6</f>
        <v>538</v>
      </c>
      <c r="B102" s="17">
        <f>B6</f>
        <v>28.041600000000003</v>
      </c>
      <c r="C102" s="16" t="s">
        <v>398</v>
      </c>
      <c r="D102" s="16" t="s">
        <v>286</v>
      </c>
      <c r="E102" s="39">
        <v>0.7902777777777777</v>
      </c>
      <c r="F102" s="39">
        <v>0.7493055555555556</v>
      </c>
      <c r="G102" s="22"/>
      <c r="H102" s="36" t="s">
        <v>251</v>
      </c>
    </row>
    <row r="103" spans="1:8" ht="12.75">
      <c r="A103" s="17">
        <f>A48-A5</f>
        <v>573</v>
      </c>
      <c r="B103" s="17">
        <f>B5</f>
        <v>11.5824</v>
      </c>
      <c r="C103" s="16" t="s">
        <v>438</v>
      </c>
      <c r="D103" s="16" t="s">
        <v>246</v>
      </c>
      <c r="E103" s="39">
        <v>0.8333333333333334</v>
      </c>
      <c r="F103" s="39">
        <v>0.7916666666666666</v>
      </c>
      <c r="G103" s="22"/>
      <c r="H103" s="69">
        <v>0.84375</v>
      </c>
    </row>
    <row r="104" spans="3:8" ht="12.75">
      <c r="C104" s="19" t="s">
        <v>290</v>
      </c>
      <c r="E104" s="22"/>
      <c r="F104" s="22"/>
      <c r="G104" s="22"/>
      <c r="H104" s="22"/>
    </row>
    <row r="105" spans="3:8" ht="12.75">
      <c r="C105" s="16" t="s">
        <v>425</v>
      </c>
      <c r="E105" s="22"/>
      <c r="F105" s="22"/>
      <c r="G105" s="22"/>
      <c r="H105" s="22"/>
    </row>
    <row r="106" ht="12.75">
      <c r="C106" s="16" t="s">
        <v>439</v>
      </c>
    </row>
    <row r="107" spans="1:3" ht="12.75">
      <c r="A107" s="47"/>
      <c r="C107" s="16" t="s">
        <v>427</v>
      </c>
    </row>
    <row r="108" spans="1:3" ht="12.75">
      <c r="A108" s="47"/>
      <c r="C108" s="16" t="s">
        <v>428</v>
      </c>
    </row>
    <row r="109" spans="1:3" ht="12.75">
      <c r="A109" s="47"/>
      <c r="C109" s="16" t="s">
        <v>429</v>
      </c>
    </row>
    <row r="110" spans="1:8" ht="12.75">
      <c r="A110" s="47"/>
      <c r="D110"/>
      <c r="E110"/>
      <c r="F110"/>
      <c r="G110"/>
      <c r="H110"/>
    </row>
    <row r="111" spans="1:6" ht="12.75">
      <c r="A111" s="47"/>
      <c r="E111" s="72" t="s">
        <v>80</v>
      </c>
      <c r="F111" s="19" t="s">
        <v>85</v>
      </c>
    </row>
    <row r="112" spans="1:6" ht="12.75">
      <c r="A112" s="50" t="s">
        <v>2</v>
      </c>
      <c r="B112" s="36" t="s">
        <v>222</v>
      </c>
      <c r="C112" s="68" t="s">
        <v>237</v>
      </c>
      <c r="E112" s="23" t="s">
        <v>440</v>
      </c>
      <c r="F112" s="23" t="s">
        <v>440</v>
      </c>
    </row>
    <row r="113" spans="1:7" ht="12.75">
      <c r="A113" s="16"/>
      <c r="E113" s="23" t="s">
        <v>396</v>
      </c>
      <c r="F113"/>
      <c r="G113"/>
    </row>
    <row r="114" spans="1:6" ht="12.75">
      <c r="A114" s="32">
        <f>A127-A127</f>
        <v>0</v>
      </c>
      <c r="B114" s="17">
        <f>0.3048*38</f>
        <v>11.5824</v>
      </c>
      <c r="C114" s="16" t="s">
        <v>245</v>
      </c>
      <c r="D114" s="16" t="s">
        <v>241</v>
      </c>
      <c r="E114" s="69">
        <v>0.28125</v>
      </c>
      <c r="F114" s="69">
        <v>0.4166666666666667</v>
      </c>
    </row>
    <row r="115" spans="1:6" ht="12.75">
      <c r="A115" s="34">
        <f>A127-A126</f>
        <v>64.03999999999999</v>
      </c>
      <c r="B115" s="17">
        <f>0.3048*40</f>
        <v>12.192</v>
      </c>
      <c r="C115" s="16" t="s">
        <v>244</v>
      </c>
      <c r="D115" t="s">
        <v>286</v>
      </c>
      <c r="E115" s="69">
        <v>0.3368055555555556</v>
      </c>
      <c r="F115" s="69">
        <v>0.4722222222222222</v>
      </c>
    </row>
    <row r="116" spans="1:7" ht="12.75">
      <c r="A116">
        <v>100</v>
      </c>
      <c r="B116" s="17">
        <f>0.3048*21</f>
        <v>6.4008</v>
      </c>
      <c r="C116" s="16" t="s">
        <v>269</v>
      </c>
      <c r="D116" s="16" t="s">
        <v>246</v>
      </c>
      <c r="E116" s="36" t="s">
        <v>251</v>
      </c>
      <c r="F116" s="69">
        <v>0.5208333333333334</v>
      </c>
      <c r="G116" s="73"/>
    </row>
    <row r="117" spans="1:5" ht="12.75">
      <c r="A117" s="34">
        <f>A127-A124</f>
        <v>178.23</v>
      </c>
      <c r="B117" s="17">
        <f>0.3048*20</f>
        <v>6.096</v>
      </c>
      <c r="C117" s="16" t="s">
        <v>219</v>
      </c>
      <c r="D117" s="16" t="s">
        <v>246</v>
      </c>
      <c r="E117" s="69">
        <v>0.4618055555555556</v>
      </c>
    </row>
    <row r="118" spans="1:3" ht="12.75">
      <c r="A118" s="16"/>
      <c r="C118" s="16" t="s">
        <v>441</v>
      </c>
    </row>
    <row r="119" spans="3:256" ht="12.75">
      <c r="C119" s="19" t="s">
        <v>290</v>
      </c>
      <c r="D119"/>
      <c r="E119"/>
      <c r="F119"/>
      <c r="G119"/>
      <c r="H119"/>
      <c r="I119"/>
      <c r="J119"/>
      <c r="K119"/>
      <c r="L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3:256" ht="12.75">
      <c r="C120"/>
      <c r="D120"/>
      <c r="E120"/>
      <c r="F120"/>
      <c r="G120"/>
      <c r="H120"/>
      <c r="I120"/>
      <c r="J120"/>
      <c r="K120"/>
      <c r="L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5:10" ht="12.75">
      <c r="E121" s="72" t="s">
        <v>85</v>
      </c>
      <c r="F121" s="19" t="s">
        <v>80</v>
      </c>
      <c r="G121"/>
      <c r="J121" s="74"/>
    </row>
    <row r="122" spans="1:6" ht="12.75">
      <c r="A122" s="50" t="s">
        <v>2</v>
      </c>
      <c r="B122" s="36" t="s">
        <v>222</v>
      </c>
      <c r="C122" s="42" t="s">
        <v>223</v>
      </c>
      <c r="D122"/>
      <c r="E122" s="23" t="s">
        <v>440</v>
      </c>
      <c r="F122" s="23" t="s">
        <v>440</v>
      </c>
    </row>
    <row r="123" spans="1:6" ht="12.75">
      <c r="A123" s="16"/>
      <c r="C123"/>
      <c r="D123"/>
      <c r="E123"/>
      <c r="F123" s="23" t="s">
        <v>396</v>
      </c>
    </row>
    <row r="124" spans="1:6" ht="12.75">
      <c r="A124">
        <v>0</v>
      </c>
      <c r="B124" s="44">
        <f>B117</f>
        <v>6.096</v>
      </c>
      <c r="C124" s="16" t="s">
        <v>219</v>
      </c>
      <c r="D124" s="16" t="s">
        <v>241</v>
      </c>
      <c r="F124" s="69">
        <v>0.75</v>
      </c>
    </row>
    <row r="125" spans="1:6" ht="12.75">
      <c r="A125" s="36" t="s">
        <v>251</v>
      </c>
      <c r="B125" s="17">
        <f>B116</f>
        <v>6.4008</v>
      </c>
      <c r="C125" s="16" t="s">
        <v>269</v>
      </c>
      <c r="D125" s="16" t="s">
        <v>241</v>
      </c>
      <c r="E125" s="69">
        <v>0.78125</v>
      </c>
      <c r="F125" s="36" t="s">
        <v>251</v>
      </c>
    </row>
    <row r="126" spans="1:6" ht="12.75">
      <c r="A126" s="18">
        <v>114.19</v>
      </c>
      <c r="B126" s="17">
        <f>B115</f>
        <v>12.192</v>
      </c>
      <c r="C126" s="16" t="s">
        <v>244</v>
      </c>
      <c r="D126" t="s">
        <v>286</v>
      </c>
      <c r="E126" s="69">
        <v>0.8333333333333334</v>
      </c>
      <c r="F126" s="69">
        <v>0.8715277777777778</v>
      </c>
    </row>
    <row r="127" spans="1:6" ht="12.75">
      <c r="A127" s="18">
        <v>178.23</v>
      </c>
      <c r="B127" s="17">
        <f>B114</f>
        <v>11.5824</v>
      </c>
      <c r="C127" s="16" t="s">
        <v>245</v>
      </c>
      <c r="D127" s="16" t="s">
        <v>246</v>
      </c>
      <c r="E127" s="69">
        <v>0.8958333333333334</v>
      </c>
      <c r="F127" s="69">
        <v>0.9340277777777778</v>
      </c>
    </row>
    <row r="128" spans="3:6" ht="12.75">
      <c r="C128" s="16" t="s">
        <v>441</v>
      </c>
      <c r="D128"/>
      <c r="E128"/>
      <c r="F128"/>
    </row>
    <row r="129" ht="12.75">
      <c r="C129" s="19" t="s">
        <v>290</v>
      </c>
    </row>
    <row r="130" spans="3:8" ht="12.75">
      <c r="C130"/>
      <c r="D130"/>
      <c r="E130"/>
      <c r="F130"/>
      <c r="G130"/>
      <c r="H130"/>
    </row>
    <row r="133" ht="12.75">
      <c r="A133" s="50"/>
    </row>
    <row r="135" ht="12.75">
      <c r="A135" s="18"/>
    </row>
    <row r="136" spans="1:256" ht="12.75">
      <c r="A136" s="32"/>
      <c r="C136"/>
      <c r="D136"/>
      <c r="E136"/>
      <c r="F136"/>
      <c r="G136"/>
      <c r="H136"/>
      <c r="I136"/>
      <c r="J136"/>
      <c r="K136"/>
      <c r="L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ht="12.75">
      <c r="A137" s="32"/>
    </row>
    <row r="138" ht="12.75">
      <c r="A138" s="32"/>
    </row>
    <row r="139" ht="12.75">
      <c r="A139" s="32"/>
    </row>
    <row r="140" ht="12.75">
      <c r="A140" s="16"/>
    </row>
    <row r="141" ht="12.75">
      <c r="A141" s="32"/>
    </row>
    <row r="142" ht="12.75">
      <c r="A142" s="32"/>
    </row>
    <row r="143" ht="12.75">
      <c r="A143" s="32"/>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3.xml><?xml version="1.0" encoding="utf-8"?>
<worksheet xmlns="http://schemas.openxmlformats.org/spreadsheetml/2006/main" xmlns:r="http://schemas.openxmlformats.org/officeDocument/2006/relationships">
  <dimension ref="A1:Q84"/>
  <sheetViews>
    <sheetView zoomScale="80" zoomScaleNormal="80" workbookViewId="0" topLeftCell="A1">
      <selection activeCell="A1" sqref="A1"/>
    </sheetView>
  </sheetViews>
  <sheetFormatPr defaultColWidth="12.57421875" defaultRowHeight="12.75"/>
  <cols>
    <col min="1" max="1" width="5.8515625" style="0" customWidth="1"/>
    <col min="2" max="2" width="7.421875" style="0" customWidth="1"/>
    <col min="3" max="3" width="14.140625" style="0" customWidth="1"/>
    <col min="4" max="4" width="2.140625" style="0" customWidth="1"/>
    <col min="5" max="16384" width="11.57421875" style="0" customWidth="1"/>
  </cols>
  <sheetData>
    <row r="1" spans="1:9" ht="12.75">
      <c r="A1" s="3">
        <v>2005</v>
      </c>
      <c r="B1" s="3"/>
      <c r="C1" s="3" t="s">
        <v>34</v>
      </c>
      <c r="D1" s="19"/>
      <c r="E1" s="22">
        <v>2</v>
      </c>
      <c r="F1" s="22">
        <v>4</v>
      </c>
      <c r="H1">
        <v>10</v>
      </c>
      <c r="I1">
        <v>10</v>
      </c>
    </row>
    <row r="2" spans="1:16" ht="12.75">
      <c r="A2" s="16" t="s">
        <v>2</v>
      </c>
      <c r="B2" s="36" t="s">
        <v>222</v>
      </c>
      <c r="C2" s="42" t="s">
        <v>223</v>
      </c>
      <c r="D2" s="19"/>
      <c r="E2" s="22" t="s">
        <v>83</v>
      </c>
      <c r="F2" s="22" t="s">
        <v>88</v>
      </c>
      <c r="H2" s="22" t="s">
        <v>442</v>
      </c>
      <c r="I2" s="22" t="s">
        <v>88</v>
      </c>
      <c r="L2" s="36"/>
      <c r="M2" s="15"/>
      <c r="O2" s="57"/>
      <c r="P2" s="15"/>
    </row>
    <row r="3" spans="1:16" ht="12.75">
      <c r="A3" s="16"/>
      <c r="C3" s="19"/>
      <c r="D3" s="19"/>
      <c r="E3" t="s">
        <v>100</v>
      </c>
      <c r="F3" t="s">
        <v>105</v>
      </c>
      <c r="H3" s="23" t="s">
        <v>106</v>
      </c>
      <c r="I3" s="11" t="s">
        <v>108</v>
      </c>
      <c r="L3" s="23"/>
      <c r="M3" s="11"/>
      <c r="O3" s="43"/>
      <c r="P3" s="15"/>
    </row>
    <row r="4" spans="1:12" ht="12.75">
      <c r="A4" s="16"/>
      <c r="C4" s="19"/>
      <c r="D4" s="19"/>
      <c r="E4" s="36" t="s">
        <v>443</v>
      </c>
      <c r="F4" s="50" t="s">
        <v>90</v>
      </c>
      <c r="H4" s="50" t="s">
        <v>90</v>
      </c>
      <c r="I4" s="50" t="s">
        <v>90</v>
      </c>
      <c r="L4" s="43"/>
    </row>
    <row r="5" spans="1:9" ht="12.75">
      <c r="A5" s="32">
        <v>0</v>
      </c>
      <c r="B5" s="17">
        <f>0.3048*38</f>
        <v>11.5824</v>
      </c>
      <c r="C5" s="19" t="s">
        <v>245</v>
      </c>
      <c r="D5" s="19" t="s">
        <v>241</v>
      </c>
      <c r="E5" s="39">
        <v>0.34375</v>
      </c>
      <c r="H5" s="39">
        <v>0.3541666666666667</v>
      </c>
      <c r="I5" s="39">
        <v>0.3541666666666667</v>
      </c>
    </row>
    <row r="6" spans="1:9" ht="12.75">
      <c r="A6" s="32">
        <v>73.2095</v>
      </c>
      <c r="B6" s="17">
        <f>0.3048*339</f>
        <v>103.3272</v>
      </c>
      <c r="C6" s="19" t="s">
        <v>248</v>
      </c>
      <c r="D6" s="19"/>
      <c r="E6" s="39">
        <v>0.40625</v>
      </c>
      <c r="H6" s="39">
        <v>0.4201388888888889</v>
      </c>
      <c r="I6" s="39">
        <v>0.4201388888888889</v>
      </c>
    </row>
    <row r="7" spans="1:16" ht="12.75">
      <c r="A7" s="32">
        <v>180.8516</v>
      </c>
      <c r="B7" s="17">
        <f>0.3048*354</f>
        <v>107.89920000000001</v>
      </c>
      <c r="C7" s="19" t="s">
        <v>249</v>
      </c>
      <c r="D7" s="19"/>
      <c r="E7" s="39">
        <v>0.4756944444444444</v>
      </c>
      <c r="F7" s="39">
        <v>0.5104166666666666</v>
      </c>
      <c r="H7" s="39">
        <v>0.4826388888888889</v>
      </c>
      <c r="I7" s="39">
        <v>0.4826388888888889</v>
      </c>
      <c r="L7" s="36"/>
      <c r="M7" s="15"/>
      <c r="O7" s="57"/>
      <c r="P7" s="15"/>
    </row>
    <row r="8" spans="1:16" ht="12.75">
      <c r="A8" s="32">
        <v>196.1371</v>
      </c>
      <c r="B8" s="17">
        <f>0.3048*461</f>
        <v>140.5128</v>
      </c>
      <c r="C8" s="19" t="s">
        <v>309</v>
      </c>
      <c r="D8" s="47" t="s">
        <v>286</v>
      </c>
      <c r="E8" s="56" t="s">
        <v>251</v>
      </c>
      <c r="F8" s="39">
        <v>0.51875</v>
      </c>
      <c r="H8" s="39">
        <v>0.49027777777777776</v>
      </c>
      <c r="I8" s="39">
        <v>0.49027777777777776</v>
      </c>
      <c r="L8" s="23"/>
      <c r="M8" s="11"/>
      <c r="O8" s="15"/>
      <c r="P8" s="43"/>
    </row>
    <row r="9" spans="1:12" ht="12.75">
      <c r="A9" s="32">
        <v>215.9278</v>
      </c>
      <c r="B9" s="17">
        <f>0.3048*546</f>
        <v>166.4208</v>
      </c>
      <c r="C9" s="19" t="s">
        <v>250</v>
      </c>
      <c r="D9" s="47" t="s">
        <v>286</v>
      </c>
      <c r="E9" s="56" t="s">
        <v>251</v>
      </c>
      <c r="F9" s="39">
        <v>0.5347222222222222</v>
      </c>
      <c r="H9" s="39">
        <v>0.5069444444444444</v>
      </c>
      <c r="I9" s="39">
        <v>0.5069444444444444</v>
      </c>
      <c r="L9" s="43"/>
    </row>
    <row r="10" spans="1:17" ht="12.75">
      <c r="A10" s="32">
        <v>230.7306</v>
      </c>
      <c r="B10" s="17">
        <f>0.3048*621</f>
        <v>189.2808</v>
      </c>
      <c r="C10" s="19" t="s">
        <v>310</v>
      </c>
      <c r="D10" s="47" t="s">
        <v>286</v>
      </c>
      <c r="E10" s="56" t="s">
        <v>251</v>
      </c>
      <c r="F10" s="39">
        <v>0.5451388888888888</v>
      </c>
      <c r="H10" s="39">
        <v>0.51875</v>
      </c>
      <c r="I10" s="39">
        <v>0.51875</v>
      </c>
      <c r="L10" s="22"/>
      <c r="P10" s="22"/>
      <c r="Q10" s="22"/>
    </row>
    <row r="11" spans="1:17" ht="12.75">
      <c r="A11" s="32">
        <v>239.5801</v>
      </c>
      <c r="B11" s="17">
        <f>0.3048*731</f>
        <v>222.80880000000002</v>
      </c>
      <c r="C11" s="19" t="s">
        <v>311</v>
      </c>
      <c r="D11" s="47" t="s">
        <v>286</v>
      </c>
      <c r="E11" s="56" t="s">
        <v>251</v>
      </c>
      <c r="F11" s="39">
        <v>0.5555555555555556</v>
      </c>
      <c r="H11" s="39">
        <v>0.5270833333333333</v>
      </c>
      <c r="I11" s="39">
        <v>0.5270833333333333</v>
      </c>
      <c r="L11" s="22"/>
      <c r="P11" s="22"/>
      <c r="Q11" s="22"/>
    </row>
    <row r="12" spans="1:17" ht="12.75">
      <c r="A12" s="32">
        <v>247.9469</v>
      </c>
      <c r="B12" s="17">
        <f>0.3048*879</f>
        <v>267.9192</v>
      </c>
      <c r="C12" s="19" t="s">
        <v>312</v>
      </c>
      <c r="D12" s="47" t="s">
        <v>286</v>
      </c>
      <c r="E12" s="56" t="s">
        <v>251</v>
      </c>
      <c r="F12" s="39">
        <v>0.5659722222222222</v>
      </c>
      <c r="H12" s="39">
        <v>0.5347222222222222</v>
      </c>
      <c r="I12" s="39">
        <v>0.5347222222222222</v>
      </c>
      <c r="L12" s="22"/>
      <c r="P12" s="22"/>
      <c r="Q12" s="22"/>
    </row>
    <row r="13" spans="1:17" ht="12.75">
      <c r="A13" s="32">
        <v>256.6355</v>
      </c>
      <c r="B13" s="17">
        <f>0.3048*1280</f>
        <v>390.144</v>
      </c>
      <c r="C13" s="19" t="s">
        <v>313</v>
      </c>
      <c r="D13" s="47" t="s">
        <v>286</v>
      </c>
      <c r="E13" s="56" t="s">
        <v>251</v>
      </c>
      <c r="F13" s="39">
        <v>0.5763888888888888</v>
      </c>
      <c r="H13" s="39">
        <v>0.5430555555555555</v>
      </c>
      <c r="I13" s="39">
        <v>0.5430555555555555</v>
      </c>
      <c r="L13" s="22"/>
      <c r="P13" s="22"/>
      <c r="Q13" s="22"/>
    </row>
    <row r="14" spans="1:17" ht="12.75">
      <c r="A14" s="32">
        <v>268.8639</v>
      </c>
      <c r="B14" s="17">
        <f>0.3048*1688</f>
        <v>514.5024000000001</v>
      </c>
      <c r="C14" s="19" t="s">
        <v>252</v>
      </c>
      <c r="D14" s="47" t="s">
        <v>286</v>
      </c>
      <c r="E14" s="56" t="s">
        <v>251</v>
      </c>
      <c r="F14" s="39">
        <v>0.59375</v>
      </c>
      <c r="H14" s="39">
        <v>0.5555555555555556</v>
      </c>
      <c r="I14" s="39">
        <v>0.5555555555555556</v>
      </c>
      <c r="L14" s="22"/>
      <c r="P14" s="22"/>
      <c r="Q14" s="22"/>
    </row>
    <row r="15" spans="1:12" ht="12.75">
      <c r="A15" s="32">
        <v>375.5406</v>
      </c>
      <c r="B15" s="17">
        <f>0.3048*1732</f>
        <v>527.9136</v>
      </c>
      <c r="C15" s="19" t="s">
        <v>444</v>
      </c>
      <c r="D15" s="19"/>
      <c r="E15" s="39">
        <v>0.65625</v>
      </c>
      <c r="H15" s="39">
        <v>0.6569444444444444</v>
      </c>
      <c r="L15" s="22"/>
    </row>
    <row r="16" spans="1:12" ht="12.75">
      <c r="A16" s="32">
        <v>393.2396</v>
      </c>
      <c r="B16" s="17">
        <f>0.3048*1368</f>
        <v>416.9664</v>
      </c>
      <c r="C16" s="19" t="s">
        <v>256</v>
      </c>
      <c r="D16" s="19"/>
      <c r="E16" s="56" t="s">
        <v>251</v>
      </c>
      <c r="H16" s="39">
        <v>0.6875</v>
      </c>
      <c r="L16" s="22"/>
    </row>
    <row r="17" spans="1:12" ht="12.75">
      <c r="A17" s="32">
        <v>478.5166</v>
      </c>
      <c r="B17" s="17">
        <f>0.3048*362</f>
        <v>110.33760000000001</v>
      </c>
      <c r="C17" s="19" t="s">
        <v>257</v>
      </c>
      <c r="D17" s="19"/>
      <c r="E17" s="56" t="s">
        <v>251</v>
      </c>
      <c r="H17" s="39">
        <v>0.7395833333333334</v>
      </c>
      <c r="L17" s="22"/>
    </row>
    <row r="18" spans="1:12" ht="12.75">
      <c r="A18" s="32">
        <v>572.804</v>
      </c>
      <c r="B18" s="17">
        <f>0.3048*448</f>
        <v>136.5504</v>
      </c>
      <c r="C18" s="19" t="s">
        <v>258</v>
      </c>
      <c r="D18" s="19" t="s">
        <v>246</v>
      </c>
      <c r="E18" s="39">
        <v>0.84375</v>
      </c>
      <c r="H18" s="39">
        <v>0.8229166666666666</v>
      </c>
      <c r="L18" s="22"/>
    </row>
    <row r="19" spans="1:4" ht="12.75">
      <c r="A19" s="16"/>
      <c r="C19" s="16" t="s">
        <v>445</v>
      </c>
      <c r="D19" s="19"/>
    </row>
    <row r="20" spans="1:4" ht="12.75">
      <c r="A20" s="16"/>
      <c r="C20" s="19" t="s">
        <v>446</v>
      </c>
      <c r="D20" s="19"/>
    </row>
    <row r="21" spans="1:4" ht="12.75">
      <c r="A21" s="16"/>
      <c r="C21" s="19" t="s">
        <v>290</v>
      </c>
      <c r="D21" s="19"/>
    </row>
    <row r="22" spans="5:9" ht="12.75">
      <c r="E22">
        <v>1</v>
      </c>
      <c r="F22">
        <v>3</v>
      </c>
      <c r="H22">
        <v>9</v>
      </c>
      <c r="I22">
        <v>9</v>
      </c>
    </row>
    <row r="23" spans="1:9" ht="12.75">
      <c r="A23" s="16" t="s">
        <v>2</v>
      </c>
      <c r="B23" s="36" t="s">
        <v>222</v>
      </c>
      <c r="C23" s="42" t="s">
        <v>237</v>
      </c>
      <c r="D23" s="19"/>
      <c r="E23" t="s">
        <v>83</v>
      </c>
      <c r="F23" s="22" t="s">
        <v>88</v>
      </c>
      <c r="H23" s="22" t="s">
        <v>442</v>
      </c>
      <c r="I23" s="22" t="s">
        <v>88</v>
      </c>
    </row>
    <row r="24" spans="1:9" ht="12.75">
      <c r="A24" s="16"/>
      <c r="C24" s="19"/>
      <c r="D24" s="19"/>
      <c r="E24" t="s">
        <v>102</v>
      </c>
      <c r="F24" t="s">
        <v>105</v>
      </c>
      <c r="H24" s="23" t="s">
        <v>107</v>
      </c>
      <c r="I24" s="11" t="s">
        <v>108</v>
      </c>
    </row>
    <row r="25" spans="1:16" ht="12.75">
      <c r="A25" s="16"/>
      <c r="C25" s="19"/>
      <c r="D25" s="19"/>
      <c r="E25" s="36" t="s">
        <v>443</v>
      </c>
      <c r="F25" s="50" t="s">
        <v>90</v>
      </c>
      <c r="H25" s="50" t="s">
        <v>90</v>
      </c>
      <c r="I25" s="50" t="s">
        <v>90</v>
      </c>
      <c r="L25" s="22"/>
      <c r="M25" s="22"/>
      <c r="P25" s="22"/>
    </row>
    <row r="26" spans="1:12" ht="12.75">
      <c r="A26" s="32">
        <f>A18-A18</f>
        <v>0</v>
      </c>
      <c r="B26" s="17">
        <f>B18-B18</f>
        <v>0</v>
      </c>
      <c r="C26" s="19" t="s">
        <v>258</v>
      </c>
      <c r="D26" s="19" t="s">
        <v>241</v>
      </c>
      <c r="E26" s="39">
        <v>0.34375</v>
      </c>
      <c r="H26" s="39">
        <v>0.3541666666666667</v>
      </c>
      <c r="L26" s="22"/>
    </row>
    <row r="27" spans="1:12" ht="12.75">
      <c r="A27" s="32">
        <f>A18-A17</f>
        <v>94.28739999999999</v>
      </c>
      <c r="B27" s="17">
        <f>B17</f>
        <v>110.33760000000001</v>
      </c>
      <c r="C27" s="19" t="s">
        <v>257</v>
      </c>
      <c r="D27" s="19"/>
      <c r="E27" s="56" t="s">
        <v>251</v>
      </c>
      <c r="H27" s="39">
        <v>0.425</v>
      </c>
      <c r="L27" s="22"/>
    </row>
    <row r="28" spans="1:12" ht="12.75">
      <c r="A28" s="32">
        <f>A18-A16</f>
        <v>179.56439999999998</v>
      </c>
      <c r="B28" s="17">
        <f>B16</f>
        <v>416.9664</v>
      </c>
      <c r="C28" s="19" t="s">
        <v>256</v>
      </c>
      <c r="D28" s="19"/>
      <c r="E28" s="56" t="s">
        <v>251</v>
      </c>
      <c r="H28" s="39">
        <v>0.4722222222222222</v>
      </c>
      <c r="L28" s="22"/>
    </row>
    <row r="29" spans="1:12" ht="12.75">
      <c r="A29" s="32">
        <f>A18-A15</f>
        <v>197.2634</v>
      </c>
      <c r="B29" s="17">
        <f>B15</f>
        <v>527.9136</v>
      </c>
      <c r="C29" s="19" t="s">
        <v>444</v>
      </c>
      <c r="D29" s="19"/>
      <c r="E29" s="39">
        <v>0.5006944444444444</v>
      </c>
      <c r="H29" s="39">
        <v>0.5104166666666666</v>
      </c>
      <c r="L29" s="22"/>
    </row>
    <row r="30" spans="1:17" ht="12.75">
      <c r="A30" s="32">
        <f>A18-A14</f>
        <v>303.9401</v>
      </c>
      <c r="B30" s="17">
        <f>B14</f>
        <v>514.5024000000001</v>
      </c>
      <c r="C30" s="19" t="s">
        <v>252</v>
      </c>
      <c r="D30" s="47" t="s">
        <v>286</v>
      </c>
      <c r="E30" s="56" t="s">
        <v>251</v>
      </c>
      <c r="F30" s="39">
        <v>0.6319444444444444</v>
      </c>
      <c r="H30" s="39">
        <v>0.5972222222222222</v>
      </c>
      <c r="I30" s="39">
        <v>0.5798611111111112</v>
      </c>
      <c r="L30" s="22"/>
      <c r="Q30" s="22"/>
    </row>
    <row r="31" spans="1:17" ht="12.75">
      <c r="A31" s="32">
        <f>A18-A13</f>
        <v>316.1685</v>
      </c>
      <c r="B31" s="17">
        <f>B13</f>
        <v>390.144</v>
      </c>
      <c r="C31" s="19" t="s">
        <v>313</v>
      </c>
      <c r="D31" s="47" t="s">
        <v>286</v>
      </c>
      <c r="E31" s="56" t="s">
        <v>251</v>
      </c>
      <c r="F31" s="39">
        <v>0.6631944444444444</v>
      </c>
      <c r="H31" s="39">
        <v>0.6090277777777777</v>
      </c>
      <c r="I31" s="39">
        <v>0.5923611111111111</v>
      </c>
      <c r="L31" s="22"/>
      <c r="Q31" s="22"/>
    </row>
    <row r="32" spans="1:17" ht="12.75">
      <c r="A32" s="32">
        <f>A18-A12</f>
        <v>324.85709999999995</v>
      </c>
      <c r="B32" s="17">
        <f>B12</f>
        <v>267.9192</v>
      </c>
      <c r="C32" s="19" t="s">
        <v>312</v>
      </c>
      <c r="D32" s="47" t="s">
        <v>286</v>
      </c>
      <c r="E32" s="56" t="s">
        <v>251</v>
      </c>
      <c r="F32" s="39">
        <v>0.6736111111111112</v>
      </c>
      <c r="H32" s="39">
        <v>0.6180555555555556</v>
      </c>
      <c r="I32" s="39">
        <v>0.6006944444444444</v>
      </c>
      <c r="L32" s="22"/>
      <c r="Q32" s="22"/>
    </row>
    <row r="33" spans="1:17" ht="12.75">
      <c r="A33" s="32">
        <f>A18-A11</f>
        <v>333.22389999999996</v>
      </c>
      <c r="B33" s="17">
        <f>B11</f>
        <v>222.80880000000002</v>
      </c>
      <c r="C33" s="19" t="s">
        <v>311</v>
      </c>
      <c r="D33" s="47" t="s">
        <v>286</v>
      </c>
      <c r="E33" s="56" t="s">
        <v>251</v>
      </c>
      <c r="F33" s="39">
        <v>0.6875</v>
      </c>
      <c r="H33" s="39">
        <v>0.625</v>
      </c>
      <c r="I33" s="39">
        <v>0.6083333333333333</v>
      </c>
      <c r="L33" s="22"/>
      <c r="Q33" s="22"/>
    </row>
    <row r="34" spans="1:17" ht="12.75">
      <c r="A34" s="32">
        <f>A18-A10</f>
        <v>342.0734</v>
      </c>
      <c r="B34" s="17">
        <f>B10</f>
        <v>189.2808</v>
      </c>
      <c r="C34" s="19" t="s">
        <v>310</v>
      </c>
      <c r="D34" s="47" t="s">
        <v>286</v>
      </c>
      <c r="E34" s="56" t="s">
        <v>251</v>
      </c>
      <c r="F34" s="39">
        <v>0.6979166666666666</v>
      </c>
      <c r="H34" s="39">
        <v>0.6333333333333333</v>
      </c>
      <c r="I34" s="39">
        <v>0.6166666666666667</v>
      </c>
      <c r="L34" s="22"/>
      <c r="Q34" s="22"/>
    </row>
    <row r="35" spans="1:17" ht="12.75">
      <c r="A35" s="32">
        <f>A18-A9</f>
        <v>356.8762</v>
      </c>
      <c r="B35" s="17">
        <f>B9</f>
        <v>166.4208</v>
      </c>
      <c r="C35" s="19" t="s">
        <v>250</v>
      </c>
      <c r="D35" s="47" t="s">
        <v>286</v>
      </c>
      <c r="E35" s="56" t="s">
        <v>251</v>
      </c>
      <c r="F35" s="39">
        <v>0.7083333333333334</v>
      </c>
      <c r="H35" s="39">
        <v>0.6381944444444444</v>
      </c>
      <c r="I35" s="39">
        <v>0.6284722222222222</v>
      </c>
      <c r="L35" s="22"/>
      <c r="Q35" s="22"/>
    </row>
    <row r="36" spans="1:17" ht="12.75">
      <c r="A36" s="32">
        <f>A18-A8</f>
        <v>376.66689999999994</v>
      </c>
      <c r="B36" s="17">
        <f>B8</f>
        <v>140.5128</v>
      </c>
      <c r="C36" s="19" t="s">
        <v>309</v>
      </c>
      <c r="D36" s="47" t="s">
        <v>286</v>
      </c>
      <c r="E36" s="56" t="s">
        <v>251</v>
      </c>
      <c r="F36" s="39">
        <v>0.7243055555555555</v>
      </c>
      <c r="H36" s="39">
        <v>0.6631944444444444</v>
      </c>
      <c r="I36" s="39">
        <v>0.6451388888888889</v>
      </c>
      <c r="L36" s="22"/>
      <c r="Q36" s="22"/>
    </row>
    <row r="37" spans="1:17" ht="12.75">
      <c r="A37" s="32">
        <f>A18-A7</f>
        <v>391.9524</v>
      </c>
      <c r="B37" s="17">
        <f>B7</f>
        <v>107.89920000000001</v>
      </c>
      <c r="C37" s="19" t="s">
        <v>249</v>
      </c>
      <c r="D37" s="19"/>
      <c r="E37" s="39">
        <v>0.6944444444444444</v>
      </c>
      <c r="F37" s="39">
        <v>0.7395833333333334</v>
      </c>
      <c r="H37" s="39">
        <v>0.6701388888888888</v>
      </c>
      <c r="I37" s="39">
        <v>0.6527777777777778</v>
      </c>
      <c r="L37" s="22"/>
      <c r="Q37" s="22"/>
    </row>
    <row r="38" spans="1:17" ht="12.75">
      <c r="A38" s="32">
        <f>A18-A6</f>
        <v>499.5945</v>
      </c>
      <c r="B38" s="17">
        <f>B6</f>
        <v>103.3272</v>
      </c>
      <c r="C38" s="19" t="s">
        <v>248</v>
      </c>
      <c r="D38" s="19"/>
      <c r="E38" s="39">
        <v>0.7534722222222222</v>
      </c>
      <c r="H38" s="39">
        <v>0.75</v>
      </c>
      <c r="I38" s="39">
        <v>0.7180555555555556</v>
      </c>
      <c r="L38" s="22"/>
      <c r="Q38" s="22"/>
    </row>
    <row r="39" spans="1:17" ht="12.75">
      <c r="A39" s="32">
        <f>A18-A5</f>
        <v>572.804</v>
      </c>
      <c r="B39" s="17">
        <f>B5</f>
        <v>11.5824</v>
      </c>
      <c r="C39" s="19" t="s">
        <v>245</v>
      </c>
      <c r="D39" s="19" t="s">
        <v>246</v>
      </c>
      <c r="E39" s="39">
        <v>0.84375</v>
      </c>
      <c r="H39" s="39">
        <v>0.8229166666666666</v>
      </c>
      <c r="I39" s="39">
        <v>0.7916666666666666</v>
      </c>
      <c r="L39" s="22"/>
      <c r="Q39" s="22"/>
    </row>
    <row r="40" spans="1:4" ht="12.75">
      <c r="A40" s="16"/>
      <c r="C40" s="16" t="s">
        <v>445</v>
      </c>
      <c r="D40" s="19"/>
    </row>
    <row r="41" spans="1:4" ht="12.75">
      <c r="A41" s="16"/>
      <c r="B41" s="16"/>
      <c r="C41" s="19" t="s">
        <v>290</v>
      </c>
      <c r="D41" s="19"/>
    </row>
    <row r="42" ht="12.75">
      <c r="B42" s="16"/>
    </row>
    <row r="43" spans="1:4" ht="12.75">
      <c r="A43" s="16"/>
      <c r="B43" s="16"/>
      <c r="C43" s="19"/>
      <c r="D43" s="19"/>
    </row>
    <row r="44" spans="1:4" ht="15">
      <c r="A44" s="16"/>
      <c r="B44" s="16"/>
      <c r="C44" s="75" t="s">
        <v>447</v>
      </c>
      <c r="D44" s="19"/>
    </row>
    <row r="45" spans="1:4" ht="12.75">
      <c r="A45" s="16"/>
      <c r="B45" s="16"/>
      <c r="C45" t="s">
        <v>448</v>
      </c>
      <c r="D45" s="19"/>
    </row>
    <row r="46" spans="1:4" ht="12.75">
      <c r="A46" s="16"/>
      <c r="B46" s="16"/>
      <c r="C46" t="s">
        <v>449</v>
      </c>
      <c r="D46" s="19"/>
    </row>
    <row r="47" spans="1:4" ht="12.75">
      <c r="A47" s="16"/>
      <c r="B47" s="16"/>
      <c r="C47" s="16"/>
      <c r="D47" s="19"/>
    </row>
    <row r="48" spans="1:4" ht="12.75">
      <c r="A48" s="16"/>
      <c r="B48" s="16"/>
      <c r="C48" s="16" t="s">
        <v>450</v>
      </c>
      <c r="D48" s="19"/>
    </row>
    <row r="49" spans="1:4" ht="12.75">
      <c r="A49" s="16"/>
      <c r="B49" s="16"/>
      <c r="C49" s="16"/>
      <c r="D49" s="19"/>
    </row>
    <row r="50" spans="1:4" ht="12.75">
      <c r="A50" s="16"/>
      <c r="B50" s="16"/>
      <c r="C50" s="76" t="s">
        <v>451</v>
      </c>
      <c r="D50" s="19"/>
    </row>
    <row r="51" spans="1:4" ht="12.75">
      <c r="A51" s="16"/>
      <c r="B51" s="16"/>
      <c r="C51" s="19" t="s">
        <v>452</v>
      </c>
      <c r="D51" s="19"/>
    </row>
    <row r="52" spans="1:4" ht="12.75">
      <c r="A52" s="16"/>
      <c r="B52" s="16"/>
      <c r="C52" s="19" t="s">
        <v>453</v>
      </c>
      <c r="D52" s="19"/>
    </row>
    <row r="53" spans="1:4" ht="12.75">
      <c r="A53" s="16"/>
      <c r="B53" s="16"/>
      <c r="C53" s="19" t="s">
        <v>454</v>
      </c>
      <c r="D53" s="19"/>
    </row>
    <row r="54" spans="1:4" ht="12.75">
      <c r="A54" s="16"/>
      <c r="B54" s="16"/>
      <c r="C54" s="19"/>
      <c r="D54" s="19"/>
    </row>
    <row r="56" spans="1:6" ht="12.75">
      <c r="A56" s="50" t="s">
        <v>2</v>
      </c>
      <c r="B56" s="36" t="s">
        <v>222</v>
      </c>
      <c r="C56" s="42" t="s">
        <v>237</v>
      </c>
      <c r="D56" s="19"/>
      <c r="E56" s="22" t="s">
        <v>80</v>
      </c>
      <c r="F56" s="22" t="s">
        <v>85</v>
      </c>
    </row>
    <row r="57" spans="1:8" ht="12.75">
      <c r="A57" s="16"/>
      <c r="C57" s="19"/>
      <c r="D57" s="19"/>
      <c r="E57" t="s">
        <v>99</v>
      </c>
      <c r="F57" t="s">
        <v>100</v>
      </c>
      <c r="G57" s="22"/>
      <c r="H57" s="22"/>
    </row>
    <row r="58" spans="3:8" ht="12.75">
      <c r="C58" s="19"/>
      <c r="D58" s="19"/>
      <c r="E58" s="23" t="s">
        <v>396</v>
      </c>
      <c r="F58" s="23" t="s">
        <v>396</v>
      </c>
      <c r="G58" s="22"/>
      <c r="H58" s="22"/>
    </row>
    <row r="59" spans="1:11" ht="12.75">
      <c r="A59" s="32">
        <f>A82-A82</f>
        <v>0</v>
      </c>
      <c r="B59" s="17">
        <f>0.3048*38</f>
        <v>11.5824</v>
      </c>
      <c r="C59" s="19" t="s">
        <v>245</v>
      </c>
      <c r="D59" s="19" t="s">
        <v>241</v>
      </c>
      <c r="E59" s="77">
        <v>0.28125</v>
      </c>
      <c r="F59" s="39">
        <v>0.4166666666666667</v>
      </c>
      <c r="H59" s="22"/>
      <c r="K59" s="22"/>
    </row>
    <row r="60" spans="1:11" ht="12.75">
      <c r="A60" s="34">
        <f>A82-A81</f>
        <v>64.03999999999999</v>
      </c>
      <c r="B60" s="17">
        <f>0.3048*40</f>
        <v>12.192</v>
      </c>
      <c r="C60" s="19" t="s">
        <v>244</v>
      </c>
      <c r="D60" s="19"/>
      <c r="E60" s="77">
        <v>0.3368055555555556</v>
      </c>
      <c r="F60" s="39">
        <v>0.46875</v>
      </c>
      <c r="H60" s="22"/>
      <c r="K60" s="22"/>
    </row>
    <row r="61" spans="1:8" ht="12.75">
      <c r="A61" s="32">
        <f>A82-A80</f>
        <v>80.60999999999999</v>
      </c>
      <c r="B61" s="17">
        <f>0.3048*33</f>
        <v>10.0584</v>
      </c>
      <c r="C61" s="19" t="s">
        <v>270</v>
      </c>
      <c r="D61" s="19"/>
      <c r="E61" s="56" t="s">
        <v>251</v>
      </c>
      <c r="F61" s="39">
        <v>0.4826388888888889</v>
      </c>
      <c r="H61" s="22"/>
    </row>
    <row r="62" spans="1:6" ht="12.75">
      <c r="A62" s="32">
        <f>(12*1.609)+A61</f>
        <v>99.91799999999998</v>
      </c>
      <c r="B62" s="17">
        <f>0.3048*21</f>
        <v>6.4008</v>
      </c>
      <c r="C62" s="19" t="s">
        <v>269</v>
      </c>
      <c r="D62" s="19" t="s">
        <v>246</v>
      </c>
      <c r="E62" s="56" t="s">
        <v>251</v>
      </c>
      <c r="F62" s="39">
        <v>0.5138888888888888</v>
      </c>
    </row>
    <row r="63" spans="1:8" ht="12.75">
      <c r="A63" s="32"/>
      <c r="B63" s="17">
        <f>B62</f>
        <v>6.4008</v>
      </c>
      <c r="C63" s="19" t="s">
        <v>269</v>
      </c>
      <c r="D63" s="19" t="s">
        <v>241</v>
      </c>
      <c r="E63" s="56" t="s">
        <v>251</v>
      </c>
      <c r="F63" s="39">
        <v>0.53125</v>
      </c>
      <c r="H63" s="22"/>
    </row>
    <row r="64" spans="1:8" ht="12.75">
      <c r="A64" s="32">
        <f>A82-A77</f>
        <v>80.60999999999999</v>
      </c>
      <c r="B64" s="17">
        <f>B61</f>
        <v>10.0584</v>
      </c>
      <c r="C64" s="19" t="s">
        <v>270</v>
      </c>
      <c r="D64" s="19"/>
      <c r="E64" s="56" t="s">
        <v>251</v>
      </c>
      <c r="F64" s="39">
        <v>0.5520833333333334</v>
      </c>
      <c r="H64" s="22"/>
    </row>
    <row r="65" spans="1:13" ht="12.75">
      <c r="A65" s="32">
        <f>A82-A76</f>
        <v>94.11999999999999</v>
      </c>
      <c r="B65" s="78">
        <v>38.829</v>
      </c>
      <c r="C65" s="19" t="s">
        <v>455</v>
      </c>
      <c r="D65" s="19"/>
      <c r="E65" s="56" t="s">
        <v>251</v>
      </c>
      <c r="F65" s="39">
        <v>0.5625</v>
      </c>
      <c r="H65" s="22"/>
      <c r="K65" s="22"/>
      <c r="L65" s="22"/>
      <c r="M65" s="22"/>
    </row>
    <row r="66" spans="1:8" ht="12.75">
      <c r="A66" s="32">
        <f>A82-A75</f>
        <v>110.64999999999999</v>
      </c>
      <c r="B66" s="17">
        <f>0.3048*1063</f>
        <v>324.0024</v>
      </c>
      <c r="C66" s="19" t="s">
        <v>456</v>
      </c>
      <c r="D66" s="19" t="s">
        <v>246</v>
      </c>
      <c r="E66" s="56" t="s">
        <v>251</v>
      </c>
      <c r="F66" s="39">
        <v>0.6284722222222222</v>
      </c>
      <c r="H66" s="22"/>
    </row>
    <row r="67" spans="1:8" ht="12.75">
      <c r="A67" s="32">
        <f>A82-A74</f>
        <v>178.23</v>
      </c>
      <c r="B67" s="17">
        <f>0.3048*20</f>
        <v>6.096</v>
      </c>
      <c r="C67" s="19" t="s">
        <v>219</v>
      </c>
      <c r="D67" s="19" t="s">
        <v>246</v>
      </c>
      <c r="E67" s="77">
        <v>0.4618055555555556</v>
      </c>
      <c r="F67" s="22"/>
      <c r="H67" s="22"/>
    </row>
    <row r="68" spans="2:9" ht="12.75">
      <c r="B68" s="16"/>
      <c r="C68" s="19" t="s">
        <v>457</v>
      </c>
      <c r="D68" s="19"/>
      <c r="E68" s="22"/>
      <c r="F68" s="22"/>
      <c r="H68" s="22"/>
      <c r="I68" s="22"/>
    </row>
    <row r="69" spans="2:9" ht="12.75">
      <c r="B69" s="16"/>
      <c r="C69" s="19" t="s">
        <v>458</v>
      </c>
      <c r="D69" s="19"/>
      <c r="F69" s="22"/>
      <c r="H69" s="22"/>
      <c r="I69" s="22"/>
    </row>
    <row r="70" spans="2:9" ht="12.75">
      <c r="B70" s="16"/>
      <c r="C70" s="19"/>
      <c r="D70" s="19"/>
      <c r="E70" s="22"/>
      <c r="F70" s="22"/>
      <c r="H70" s="22"/>
      <c r="I70" s="22"/>
    </row>
    <row r="71" spans="1:6" ht="12.75">
      <c r="A71" s="50" t="s">
        <v>2</v>
      </c>
      <c r="B71" s="36" t="s">
        <v>222</v>
      </c>
      <c r="C71" s="42" t="s">
        <v>223</v>
      </c>
      <c r="D71" s="19"/>
      <c r="E71" s="22" t="s">
        <v>85</v>
      </c>
      <c r="F71" s="22" t="s">
        <v>80</v>
      </c>
    </row>
    <row r="72" spans="5:8" ht="12.75">
      <c r="E72" t="s">
        <v>100</v>
      </c>
      <c r="F72" t="s">
        <v>99</v>
      </c>
      <c r="H72" s="22"/>
    </row>
    <row r="73" spans="1:6" ht="12.75">
      <c r="A73" s="16"/>
      <c r="B73" s="16"/>
      <c r="C73" s="19"/>
      <c r="D73" s="19"/>
      <c r="E73" s="23" t="s">
        <v>396</v>
      </c>
      <c r="F73" s="23" t="s">
        <v>396</v>
      </c>
    </row>
    <row r="74" spans="1:6" ht="12.75">
      <c r="A74">
        <v>0</v>
      </c>
      <c r="B74" s="44">
        <f>B67</f>
        <v>6.096</v>
      </c>
      <c r="C74" s="19" t="s">
        <v>219</v>
      </c>
      <c r="D74" s="19" t="s">
        <v>241</v>
      </c>
      <c r="F74" s="77">
        <v>0.75</v>
      </c>
    </row>
    <row r="75" spans="1:8" ht="12.75">
      <c r="A75" s="18">
        <v>67.58</v>
      </c>
      <c r="B75" s="32">
        <f>B66</f>
        <v>324.0024</v>
      </c>
      <c r="C75" s="19" t="s">
        <v>456</v>
      </c>
      <c r="D75" s="19"/>
      <c r="E75" s="39">
        <v>0.6388888888888888</v>
      </c>
      <c r="F75" s="56" t="s">
        <v>251</v>
      </c>
      <c r="H75" s="22"/>
    </row>
    <row r="76" spans="1:8" ht="12.75">
      <c r="A76" s="18">
        <v>84.11</v>
      </c>
      <c r="B76" s="79">
        <f>B65</f>
        <v>38.829</v>
      </c>
      <c r="C76" s="19" t="s">
        <v>455</v>
      </c>
      <c r="D76" s="19"/>
      <c r="E76" s="39">
        <v>0.7013888888888888</v>
      </c>
      <c r="F76" s="56" t="s">
        <v>251</v>
      </c>
      <c r="H76" s="22"/>
    </row>
    <row r="77" spans="1:8" ht="12.75">
      <c r="A77" s="18">
        <v>97.62</v>
      </c>
      <c r="B77" s="51">
        <f>B64</f>
        <v>10.0584</v>
      </c>
      <c r="C77" s="19" t="s">
        <v>270</v>
      </c>
      <c r="D77" s="19"/>
      <c r="E77" s="39">
        <v>0.71875</v>
      </c>
      <c r="F77" s="56" t="s">
        <v>251</v>
      </c>
      <c r="H77" s="22"/>
    </row>
    <row r="78" spans="1:6" ht="12.75">
      <c r="A78" s="32">
        <f>(12*1.609)+A77</f>
        <v>116.928</v>
      </c>
      <c r="B78" s="17">
        <f>B62</f>
        <v>6.4008</v>
      </c>
      <c r="C78" s="19" t="s">
        <v>269</v>
      </c>
      <c r="D78" s="19" t="s">
        <v>246</v>
      </c>
      <c r="E78" s="37">
        <v>0.7395833333333334</v>
      </c>
      <c r="F78" s="56" t="s">
        <v>251</v>
      </c>
    </row>
    <row r="79" spans="2:8" ht="12.75">
      <c r="B79" s="17">
        <f>B63</f>
        <v>6.4008</v>
      </c>
      <c r="C79" s="19" t="s">
        <v>269</v>
      </c>
      <c r="D79" s="19" t="s">
        <v>241</v>
      </c>
      <c r="E79" s="39">
        <v>0.78125</v>
      </c>
      <c r="F79" s="56" t="s">
        <v>251</v>
      </c>
      <c r="H79" s="22"/>
    </row>
    <row r="80" spans="1:8" ht="12.75">
      <c r="A80" s="18">
        <v>97.62</v>
      </c>
      <c r="B80" s="17">
        <f>B61</f>
        <v>10.0584</v>
      </c>
      <c r="C80" s="19" t="s">
        <v>270</v>
      </c>
      <c r="D80" s="19"/>
      <c r="E80" s="39">
        <v>0.8020833333333334</v>
      </c>
      <c r="F80" s="56" t="s">
        <v>251</v>
      </c>
      <c r="H80" s="22"/>
    </row>
    <row r="81" spans="1:8" ht="12.75">
      <c r="A81" s="18">
        <v>114.19</v>
      </c>
      <c r="B81" s="17">
        <f>B60</f>
        <v>12.192</v>
      </c>
      <c r="C81" s="19" t="s">
        <v>244</v>
      </c>
      <c r="D81" s="19"/>
      <c r="E81" s="39">
        <v>0.8159722222222222</v>
      </c>
      <c r="F81" s="77">
        <v>0.8715277777777778</v>
      </c>
      <c r="H81" s="22"/>
    </row>
    <row r="82" spans="1:8" ht="12.75">
      <c r="A82" s="18">
        <v>178.23</v>
      </c>
      <c r="B82" s="17">
        <f>B59</f>
        <v>11.5824</v>
      </c>
      <c r="C82" s="19" t="s">
        <v>245</v>
      </c>
      <c r="D82" s="19" t="s">
        <v>246</v>
      </c>
      <c r="E82" s="39">
        <v>0.8854166666666666</v>
      </c>
      <c r="F82" s="77">
        <v>0.9270833333333334</v>
      </c>
      <c r="H82" s="22"/>
    </row>
    <row r="83" spans="2:4" ht="12.75">
      <c r="B83" s="16"/>
      <c r="C83" s="19" t="s">
        <v>457</v>
      </c>
      <c r="D83" s="19"/>
    </row>
    <row r="84" spans="2:4" ht="12.75">
      <c r="B84" s="16"/>
      <c r="C84" s="19" t="s">
        <v>458</v>
      </c>
      <c r="D84" s="1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4.xml><?xml version="1.0" encoding="utf-8"?>
<worksheet xmlns="http://schemas.openxmlformats.org/spreadsheetml/2006/main" xmlns:r="http://schemas.openxmlformats.org/officeDocument/2006/relationships">
  <dimension ref="A1:Q84"/>
  <sheetViews>
    <sheetView zoomScale="80" zoomScaleNormal="80" workbookViewId="0" topLeftCell="A1">
      <selection activeCell="A1" sqref="A1"/>
    </sheetView>
  </sheetViews>
  <sheetFormatPr defaultColWidth="12.57421875" defaultRowHeight="12.75"/>
  <cols>
    <col min="1" max="1" width="5.8515625" style="0" customWidth="1"/>
    <col min="2" max="2" width="7.421875" style="0" customWidth="1"/>
    <col min="3" max="3" width="14.140625" style="0" customWidth="1"/>
    <col min="4" max="4" width="2.140625" style="0" customWidth="1"/>
    <col min="5" max="16384" width="11.57421875" style="0" customWidth="1"/>
  </cols>
  <sheetData>
    <row r="1" spans="1:9" ht="12.75">
      <c r="A1" s="3">
        <v>2005</v>
      </c>
      <c r="B1" s="3"/>
      <c r="C1" s="3" t="s">
        <v>34</v>
      </c>
      <c r="D1" s="19"/>
      <c r="E1" s="22">
        <v>2</v>
      </c>
      <c r="F1" s="22">
        <v>4</v>
      </c>
      <c r="H1">
        <v>10</v>
      </c>
      <c r="I1">
        <v>10</v>
      </c>
    </row>
    <row r="2" spans="1:16" ht="12.75">
      <c r="A2" s="16" t="s">
        <v>2</v>
      </c>
      <c r="B2" s="36" t="s">
        <v>222</v>
      </c>
      <c r="C2" s="42" t="s">
        <v>223</v>
      </c>
      <c r="D2" s="19"/>
      <c r="E2" s="22" t="s">
        <v>83</v>
      </c>
      <c r="F2" s="22" t="s">
        <v>88</v>
      </c>
      <c r="H2" s="22" t="s">
        <v>442</v>
      </c>
      <c r="I2" s="22" t="s">
        <v>88</v>
      </c>
      <c r="L2" s="36"/>
      <c r="M2" s="15"/>
      <c r="O2" s="57"/>
      <c r="P2" s="15"/>
    </row>
    <row r="3" spans="1:16" ht="12.75">
      <c r="A3" s="16"/>
      <c r="C3" s="19"/>
      <c r="D3" s="19"/>
      <c r="E3" t="s">
        <v>110</v>
      </c>
      <c r="F3" t="s">
        <v>112</v>
      </c>
      <c r="H3" s="23" t="s">
        <v>113</v>
      </c>
      <c r="I3" s="11" t="s">
        <v>115</v>
      </c>
      <c r="L3" s="23"/>
      <c r="M3" s="11"/>
      <c r="O3" s="43"/>
      <c r="P3" s="15"/>
    </row>
    <row r="4" spans="1:12" ht="12.75">
      <c r="A4" s="16"/>
      <c r="C4" s="19"/>
      <c r="D4" s="19"/>
      <c r="E4" s="36" t="s">
        <v>443</v>
      </c>
      <c r="F4" s="50" t="s">
        <v>90</v>
      </c>
      <c r="H4" s="50" t="s">
        <v>90</v>
      </c>
      <c r="I4" s="50" t="s">
        <v>90</v>
      </c>
      <c r="L4" s="43"/>
    </row>
    <row r="5" spans="1:9" ht="12.75">
      <c r="A5" s="32">
        <v>0</v>
      </c>
      <c r="B5" s="17">
        <f>0.3048*38</f>
        <v>11.5824</v>
      </c>
      <c r="C5" s="19" t="s">
        <v>245</v>
      </c>
      <c r="D5" s="19" t="s">
        <v>241</v>
      </c>
      <c r="E5" s="39">
        <v>0.34375</v>
      </c>
      <c r="H5" s="37">
        <v>0.3541666666666667</v>
      </c>
      <c r="I5" s="37">
        <v>0.3541666666666667</v>
      </c>
    </row>
    <row r="6" spans="1:9" ht="12.75">
      <c r="A6" s="32">
        <v>73.2095</v>
      </c>
      <c r="B6" s="17">
        <f>0.3048*339</f>
        <v>103.3272</v>
      </c>
      <c r="C6" s="19" t="s">
        <v>248</v>
      </c>
      <c r="D6" s="19"/>
      <c r="E6" s="39">
        <v>0.3993055555555556</v>
      </c>
      <c r="H6" s="80">
        <v>0.4166666666666667</v>
      </c>
      <c r="I6" s="80">
        <v>0.4166666666666667</v>
      </c>
    </row>
    <row r="7" spans="1:16" ht="12.75">
      <c r="A7" s="32">
        <v>180.8516</v>
      </c>
      <c r="B7" s="17">
        <f>0.3048*354</f>
        <v>107.89920000000001</v>
      </c>
      <c r="C7" s="19" t="s">
        <v>249</v>
      </c>
      <c r="D7" s="19"/>
      <c r="E7" s="39">
        <v>0.4618055555555556</v>
      </c>
      <c r="F7" s="39">
        <v>0.4895833333333333</v>
      </c>
      <c r="H7" s="80">
        <v>0.4861111111111111</v>
      </c>
      <c r="I7" s="80">
        <v>0.4861111111111111</v>
      </c>
      <c r="L7" s="36"/>
      <c r="M7" s="15"/>
      <c r="O7" s="57"/>
      <c r="P7" s="15"/>
    </row>
    <row r="8" spans="1:16" ht="12.75">
      <c r="A8" s="32">
        <v>196.1371</v>
      </c>
      <c r="B8" s="17">
        <f>0.3048*461</f>
        <v>140.5128</v>
      </c>
      <c r="C8" s="19" t="s">
        <v>309</v>
      </c>
      <c r="D8" s="47" t="s">
        <v>286</v>
      </c>
      <c r="E8" s="56" t="s">
        <v>251</v>
      </c>
      <c r="F8" s="39">
        <v>0.4979166666666667</v>
      </c>
      <c r="H8" s="80">
        <v>0.49444444444444446</v>
      </c>
      <c r="I8" s="80">
        <v>0.49444444444444446</v>
      </c>
      <c r="L8" s="23"/>
      <c r="M8" s="11"/>
      <c r="O8" s="15"/>
      <c r="P8" s="43"/>
    </row>
    <row r="9" spans="1:12" ht="12.75">
      <c r="A9" s="32">
        <v>215.9278</v>
      </c>
      <c r="B9" s="17">
        <f>0.3048*546</f>
        <v>166.4208</v>
      </c>
      <c r="C9" s="19" t="s">
        <v>250</v>
      </c>
      <c r="D9" s="47" t="s">
        <v>286</v>
      </c>
      <c r="E9" s="56" t="s">
        <v>251</v>
      </c>
      <c r="F9" s="39">
        <v>0.5138888888888888</v>
      </c>
      <c r="H9" s="80">
        <v>0.5083333333333333</v>
      </c>
      <c r="I9" s="80">
        <v>0.5083333333333333</v>
      </c>
      <c r="L9" s="43"/>
    </row>
    <row r="10" spans="1:17" ht="12.75">
      <c r="A10" s="32">
        <v>230.7306</v>
      </c>
      <c r="B10" s="17">
        <f>0.3048*621</f>
        <v>189.2808</v>
      </c>
      <c r="C10" s="19" t="s">
        <v>310</v>
      </c>
      <c r="D10" s="47" t="s">
        <v>286</v>
      </c>
      <c r="E10" s="56" t="s">
        <v>251</v>
      </c>
      <c r="F10" s="39">
        <v>0.5243055555555556</v>
      </c>
      <c r="H10" s="80">
        <v>0.51875</v>
      </c>
      <c r="I10" s="80">
        <v>0.51875</v>
      </c>
      <c r="N10" s="58"/>
      <c r="P10" s="58"/>
      <c r="Q10" s="58"/>
    </row>
    <row r="11" spans="1:17" ht="12.75">
      <c r="A11" s="32">
        <v>239.5801</v>
      </c>
      <c r="B11" s="17">
        <f>0.3048*731</f>
        <v>222.80880000000002</v>
      </c>
      <c r="C11" s="19" t="s">
        <v>311</v>
      </c>
      <c r="D11" s="47" t="s">
        <v>286</v>
      </c>
      <c r="E11" s="56" t="s">
        <v>251</v>
      </c>
      <c r="F11" s="39">
        <v>0.5347222222222222</v>
      </c>
      <c r="H11" s="80">
        <v>0.5298611111111111</v>
      </c>
      <c r="I11" s="80">
        <v>0.5298611111111111</v>
      </c>
      <c r="N11" s="58"/>
      <c r="P11" s="58"/>
      <c r="Q11" s="58"/>
    </row>
    <row r="12" spans="1:17" ht="12.75">
      <c r="A12" s="32">
        <v>247.9469</v>
      </c>
      <c r="B12" s="17">
        <f>0.3048*879</f>
        <v>267.9192</v>
      </c>
      <c r="C12" s="19" t="s">
        <v>312</v>
      </c>
      <c r="D12" s="47" t="s">
        <v>286</v>
      </c>
      <c r="E12" s="56" t="s">
        <v>251</v>
      </c>
      <c r="F12" s="39">
        <v>0.5451388888888888</v>
      </c>
      <c r="H12" s="80">
        <v>0.5465277777777777</v>
      </c>
      <c r="I12" s="80">
        <v>0.5465277777777777</v>
      </c>
      <c r="N12" s="58"/>
      <c r="P12" s="58"/>
      <c r="Q12" s="58"/>
    </row>
    <row r="13" spans="1:17" ht="12.75">
      <c r="A13" s="32">
        <v>256.6355</v>
      </c>
      <c r="B13" s="17">
        <f>0.3048*1280</f>
        <v>390.144</v>
      </c>
      <c r="C13" s="19" t="s">
        <v>313</v>
      </c>
      <c r="D13" s="47" t="s">
        <v>286</v>
      </c>
      <c r="E13" s="56" t="s">
        <v>251</v>
      </c>
      <c r="F13" s="39">
        <v>0.5555555555555556</v>
      </c>
      <c r="H13" s="80">
        <v>0.5548611111111111</v>
      </c>
      <c r="I13" s="80">
        <v>0.5548611111111111</v>
      </c>
      <c r="N13" s="58"/>
      <c r="P13" s="58"/>
      <c r="Q13" s="58"/>
    </row>
    <row r="14" spans="1:17" ht="12.75">
      <c r="A14" s="32">
        <v>268.8639</v>
      </c>
      <c r="B14" s="17">
        <f>0.3048*1688</f>
        <v>514.5024000000001</v>
      </c>
      <c r="C14" s="19" t="s">
        <v>252</v>
      </c>
      <c r="D14" s="47" t="s">
        <v>286</v>
      </c>
      <c r="E14" s="56" t="s">
        <v>251</v>
      </c>
      <c r="F14" s="39">
        <v>0.5729166666666666</v>
      </c>
      <c r="H14" s="80">
        <v>0.5659722222222222</v>
      </c>
      <c r="I14" s="80">
        <v>0.5659722222222222</v>
      </c>
      <c r="N14" s="58"/>
      <c r="P14" s="58"/>
      <c r="Q14" s="58"/>
    </row>
    <row r="15" spans="1:17" ht="12.75">
      <c r="A15" s="32">
        <v>375.5406</v>
      </c>
      <c r="B15" s="17">
        <f>0.3048*1732</f>
        <v>527.9136</v>
      </c>
      <c r="C15" s="19" t="s">
        <v>444</v>
      </c>
      <c r="D15" s="19"/>
      <c r="E15" s="39">
        <v>0.65625</v>
      </c>
      <c r="F15" s="22"/>
      <c r="H15" s="80">
        <v>0.65625</v>
      </c>
      <c r="I15" s="58"/>
      <c r="N15" s="58"/>
      <c r="P15" s="58"/>
      <c r="Q15" s="58"/>
    </row>
    <row r="16" spans="1:17" ht="12.75">
      <c r="A16" s="32">
        <v>393.2396</v>
      </c>
      <c r="B16" s="17">
        <f>0.3048*1368</f>
        <v>416.9664</v>
      </c>
      <c r="C16" s="19" t="s">
        <v>256</v>
      </c>
      <c r="D16" s="19"/>
      <c r="E16" s="56" t="s">
        <v>251</v>
      </c>
      <c r="F16" s="22"/>
      <c r="H16" s="80">
        <v>0.6875</v>
      </c>
      <c r="I16" s="58"/>
      <c r="N16" s="58"/>
      <c r="P16" s="58"/>
      <c r="Q16" s="58"/>
    </row>
    <row r="17" spans="1:17" ht="12.75">
      <c r="A17" s="32">
        <v>478.5166</v>
      </c>
      <c r="B17" s="17">
        <f>0.3048*362</f>
        <v>110.33760000000001</v>
      </c>
      <c r="C17" s="19" t="s">
        <v>257</v>
      </c>
      <c r="D17" s="19"/>
      <c r="E17" s="56" t="s">
        <v>251</v>
      </c>
      <c r="F17" s="22"/>
      <c r="H17" s="80">
        <v>0.7381944444444445</v>
      </c>
      <c r="I17" s="58"/>
      <c r="N17" s="58"/>
      <c r="P17" s="58"/>
      <c r="Q17" s="58"/>
    </row>
    <row r="18" spans="1:17" ht="12.75">
      <c r="A18" s="32">
        <v>572.804</v>
      </c>
      <c r="B18" s="17">
        <f>0.3048*448</f>
        <v>136.5504</v>
      </c>
      <c r="C18" s="19" t="s">
        <v>258</v>
      </c>
      <c r="D18" s="19" t="s">
        <v>246</v>
      </c>
      <c r="E18" s="39">
        <v>0.8333333333333334</v>
      </c>
      <c r="F18" s="22"/>
      <c r="H18" s="37">
        <v>0.8229166666666666</v>
      </c>
      <c r="P18" s="58"/>
      <c r="Q18" s="58"/>
    </row>
    <row r="19" spans="1:17" ht="12.75">
      <c r="A19" s="16"/>
      <c r="C19" s="16" t="s">
        <v>445</v>
      </c>
      <c r="D19" s="19"/>
      <c r="F19" s="22"/>
      <c r="P19" s="58"/>
      <c r="Q19" s="58"/>
    </row>
    <row r="20" spans="1:6" ht="12.75">
      <c r="A20" s="16"/>
      <c r="C20" s="19" t="s">
        <v>446</v>
      </c>
      <c r="D20" s="19"/>
      <c r="F20" s="22"/>
    </row>
    <row r="21" spans="1:6" ht="12.75">
      <c r="A21" s="16"/>
      <c r="C21" s="19" t="s">
        <v>290</v>
      </c>
      <c r="D21" s="19"/>
      <c r="F21" s="22"/>
    </row>
    <row r="22" spans="5:9" ht="12.75">
      <c r="E22">
        <v>1</v>
      </c>
      <c r="F22">
        <v>3</v>
      </c>
      <c r="H22">
        <v>9</v>
      </c>
      <c r="I22">
        <v>9</v>
      </c>
    </row>
    <row r="23" spans="1:9" ht="12.75">
      <c r="A23" s="16" t="s">
        <v>2</v>
      </c>
      <c r="B23" s="36" t="s">
        <v>222</v>
      </c>
      <c r="C23" s="42" t="s">
        <v>237</v>
      </c>
      <c r="D23" s="19"/>
      <c r="E23" t="s">
        <v>83</v>
      </c>
      <c r="F23" s="22" t="s">
        <v>88</v>
      </c>
      <c r="H23" s="22" t="s">
        <v>442</v>
      </c>
      <c r="I23" s="22" t="s">
        <v>88</v>
      </c>
    </row>
    <row r="24" spans="1:9" ht="12.75">
      <c r="A24" s="16"/>
      <c r="C24" s="19"/>
      <c r="D24" s="19"/>
      <c r="E24" t="s">
        <v>110</v>
      </c>
      <c r="F24" s="22" t="s">
        <v>112</v>
      </c>
      <c r="H24" s="23" t="s">
        <v>114</v>
      </c>
      <c r="I24" s="11" t="s">
        <v>115</v>
      </c>
    </row>
    <row r="25" spans="1:17" ht="12.75">
      <c r="A25" s="16"/>
      <c r="C25" s="19"/>
      <c r="D25" s="19"/>
      <c r="E25" s="36" t="s">
        <v>443</v>
      </c>
      <c r="F25" s="50" t="s">
        <v>90</v>
      </c>
      <c r="H25" s="50" t="s">
        <v>90</v>
      </c>
      <c r="I25" s="50" t="s">
        <v>90</v>
      </c>
      <c r="L25" s="22"/>
      <c r="N25" s="22"/>
      <c r="Q25" s="22"/>
    </row>
    <row r="26" spans="1:8" ht="12.75">
      <c r="A26" s="32">
        <f>A18-A18</f>
        <v>0</v>
      </c>
      <c r="B26" s="17">
        <f>B18-B18</f>
        <v>0</v>
      </c>
      <c r="C26" s="19" t="s">
        <v>258</v>
      </c>
      <c r="D26" s="19" t="s">
        <v>241</v>
      </c>
      <c r="E26" s="39">
        <v>0.34375</v>
      </c>
      <c r="F26" s="22"/>
      <c r="H26" s="37">
        <v>0.3541666666666667</v>
      </c>
    </row>
    <row r="27" spans="1:14" ht="12.75">
      <c r="A27" s="32">
        <f>A18-A17</f>
        <v>94.28739999999999</v>
      </c>
      <c r="B27" s="17">
        <f>B17</f>
        <v>110.33760000000001</v>
      </c>
      <c r="C27" s="19" t="s">
        <v>257</v>
      </c>
      <c r="D27" s="19"/>
      <c r="E27" s="56" t="s">
        <v>251</v>
      </c>
      <c r="F27" s="22"/>
      <c r="H27" s="80">
        <v>0.4270833333333333</v>
      </c>
      <c r="I27" s="58"/>
      <c r="N27" s="58"/>
    </row>
    <row r="28" spans="1:14" ht="12.75">
      <c r="A28" s="32">
        <f>A18-A16</f>
        <v>179.56439999999998</v>
      </c>
      <c r="B28" s="17">
        <f>B16</f>
        <v>416.9664</v>
      </c>
      <c r="C28" s="19" t="s">
        <v>256</v>
      </c>
      <c r="D28" s="19"/>
      <c r="E28" s="56" t="s">
        <v>251</v>
      </c>
      <c r="F28" s="22"/>
      <c r="H28" s="80">
        <v>0.4791666666666667</v>
      </c>
      <c r="I28" s="58"/>
      <c r="N28" s="58"/>
    </row>
    <row r="29" spans="1:14" ht="12.75">
      <c r="A29" s="32">
        <f>A18-A15</f>
        <v>197.2634</v>
      </c>
      <c r="B29" s="17">
        <f>B15</f>
        <v>527.9136</v>
      </c>
      <c r="C29" s="19" t="s">
        <v>444</v>
      </c>
      <c r="D29" s="19"/>
      <c r="E29" s="39">
        <v>0.5104166666666666</v>
      </c>
      <c r="F29" s="22"/>
      <c r="H29" s="80">
        <v>0.5104166666666666</v>
      </c>
      <c r="I29" s="58"/>
      <c r="N29" s="58"/>
    </row>
    <row r="30" spans="1:14" ht="12.75">
      <c r="A30" s="32">
        <f>A18-A14</f>
        <v>303.9401</v>
      </c>
      <c r="B30" s="17">
        <f>B14</f>
        <v>514.5024000000001</v>
      </c>
      <c r="C30" s="19" t="s">
        <v>252</v>
      </c>
      <c r="D30" s="47" t="s">
        <v>286</v>
      </c>
      <c r="E30" s="56" t="s">
        <v>251</v>
      </c>
      <c r="F30" s="39">
        <v>0.625</v>
      </c>
      <c r="H30" s="80">
        <v>0.5993055555555555</v>
      </c>
      <c r="I30" s="80">
        <v>0.5798611111111112</v>
      </c>
      <c r="N30" s="58"/>
    </row>
    <row r="31" spans="1:14" ht="12.75">
      <c r="A31" s="32">
        <f>A18-A13</f>
        <v>316.1685</v>
      </c>
      <c r="B31" s="17">
        <f>B13</f>
        <v>390.144</v>
      </c>
      <c r="C31" s="19" t="s">
        <v>313</v>
      </c>
      <c r="D31" s="47" t="s">
        <v>286</v>
      </c>
      <c r="E31" s="56" t="s">
        <v>251</v>
      </c>
      <c r="F31" s="39">
        <v>0.6284722222222222</v>
      </c>
      <c r="H31" s="80">
        <v>0.6173611111111111</v>
      </c>
      <c r="I31" s="80">
        <v>0.5923611111111111</v>
      </c>
      <c r="N31" s="58"/>
    </row>
    <row r="32" spans="1:14" ht="12.75">
      <c r="A32" s="32">
        <f>A18-A12</f>
        <v>324.85709999999995</v>
      </c>
      <c r="B32" s="17">
        <f>B12</f>
        <v>267.9192</v>
      </c>
      <c r="C32" s="19" t="s">
        <v>312</v>
      </c>
      <c r="D32" s="47" t="s">
        <v>286</v>
      </c>
      <c r="E32" s="56" t="s">
        <v>251</v>
      </c>
      <c r="F32" s="39">
        <v>0.6527777777777778</v>
      </c>
      <c r="H32" s="80">
        <v>0.61875</v>
      </c>
      <c r="I32" s="80">
        <v>0.6006944444444444</v>
      </c>
      <c r="N32" s="58"/>
    </row>
    <row r="33" spans="1:14" ht="12.75">
      <c r="A33" s="32">
        <f>A18-A11</f>
        <v>333.22389999999996</v>
      </c>
      <c r="B33" s="17">
        <f>B11</f>
        <v>222.80880000000002</v>
      </c>
      <c r="C33" s="19" t="s">
        <v>311</v>
      </c>
      <c r="D33" s="47" t="s">
        <v>286</v>
      </c>
      <c r="E33" s="56" t="s">
        <v>251</v>
      </c>
      <c r="F33" s="39">
        <v>0.6666666666666666</v>
      </c>
      <c r="H33" s="80">
        <v>0.6395833333333333</v>
      </c>
      <c r="I33" s="80">
        <v>0.6083333333333333</v>
      </c>
      <c r="N33" s="58"/>
    </row>
    <row r="34" spans="1:14" ht="12.75">
      <c r="A34" s="32">
        <f>A18-A10</f>
        <v>342.0734</v>
      </c>
      <c r="B34" s="17">
        <f>B10</f>
        <v>189.2808</v>
      </c>
      <c r="C34" s="19" t="s">
        <v>310</v>
      </c>
      <c r="D34" s="47" t="s">
        <v>286</v>
      </c>
      <c r="E34" s="56" t="s">
        <v>251</v>
      </c>
      <c r="F34" s="39">
        <v>0.6770833333333334</v>
      </c>
      <c r="H34" s="80">
        <v>0.6465277777777778</v>
      </c>
      <c r="I34" s="80">
        <v>0.6166666666666667</v>
      </c>
      <c r="N34" s="58"/>
    </row>
    <row r="35" spans="1:14" ht="12.75">
      <c r="A35" s="32">
        <f>A18-A9</f>
        <v>356.8762</v>
      </c>
      <c r="B35" s="17">
        <f>B9</f>
        <v>166.4208</v>
      </c>
      <c r="C35" s="19" t="s">
        <v>250</v>
      </c>
      <c r="D35" s="47" t="s">
        <v>286</v>
      </c>
      <c r="E35" s="56" t="s">
        <v>251</v>
      </c>
      <c r="F35" s="39">
        <v>0.6875</v>
      </c>
      <c r="H35" s="80">
        <v>0.6569444444444444</v>
      </c>
      <c r="I35" s="80">
        <v>0.6284722222222222</v>
      </c>
      <c r="N35" s="58"/>
    </row>
    <row r="36" spans="1:14" ht="12.75">
      <c r="A36" s="32">
        <f>A18-A8</f>
        <v>376.66689999999994</v>
      </c>
      <c r="B36" s="17">
        <f>B8</f>
        <v>140.5128</v>
      </c>
      <c r="C36" s="19" t="s">
        <v>309</v>
      </c>
      <c r="D36" s="47" t="s">
        <v>286</v>
      </c>
      <c r="E36" s="56" t="s">
        <v>251</v>
      </c>
      <c r="F36" s="39">
        <v>0.7034722222222223</v>
      </c>
      <c r="H36" s="80">
        <v>0.6708333333333333</v>
      </c>
      <c r="I36" s="80">
        <v>0.6451388888888889</v>
      </c>
      <c r="N36" s="58"/>
    </row>
    <row r="37" spans="1:14" ht="12.75">
      <c r="A37" s="32">
        <f>A18-A7</f>
        <v>391.9524</v>
      </c>
      <c r="B37" s="17">
        <f>B7</f>
        <v>107.89920000000001</v>
      </c>
      <c r="C37" s="19" t="s">
        <v>249</v>
      </c>
      <c r="D37" s="19"/>
      <c r="E37" s="39">
        <v>0.6944444444444444</v>
      </c>
      <c r="F37" s="39">
        <v>0.71875</v>
      </c>
      <c r="H37" s="80">
        <v>0.6875</v>
      </c>
      <c r="I37" s="80">
        <v>0.6527777777777778</v>
      </c>
      <c r="N37" s="58"/>
    </row>
    <row r="38" spans="1:14" ht="12.75">
      <c r="A38" s="32">
        <f>A18-A6</f>
        <v>499.5945</v>
      </c>
      <c r="B38" s="17">
        <f>B6</f>
        <v>103.3272</v>
      </c>
      <c r="C38" s="19" t="s">
        <v>248</v>
      </c>
      <c r="D38" s="19"/>
      <c r="E38" s="39">
        <v>0.7604166666666666</v>
      </c>
      <c r="H38" s="80">
        <v>0.75</v>
      </c>
      <c r="I38" s="80">
        <v>0.7180555555555556</v>
      </c>
      <c r="N38" s="58"/>
    </row>
    <row r="39" spans="1:9" ht="12.75">
      <c r="A39" s="32">
        <f>A18-A5</f>
        <v>572.804</v>
      </c>
      <c r="B39" s="17">
        <f>B5</f>
        <v>11.5824</v>
      </c>
      <c r="C39" s="19" t="s">
        <v>245</v>
      </c>
      <c r="D39" s="19" t="s">
        <v>246</v>
      </c>
      <c r="E39" s="39">
        <v>0.8333333333333334</v>
      </c>
      <c r="H39" s="37">
        <v>0.8229166666666666</v>
      </c>
      <c r="I39" s="37">
        <v>0.7916666666666666</v>
      </c>
    </row>
    <row r="40" spans="1:4" ht="12.75">
      <c r="A40" s="16"/>
      <c r="C40" s="16" t="s">
        <v>445</v>
      </c>
      <c r="D40" s="19"/>
    </row>
    <row r="41" spans="1:4" ht="12.75">
      <c r="A41" s="16"/>
      <c r="B41" s="16"/>
      <c r="C41" s="19" t="s">
        <v>290</v>
      </c>
      <c r="D41" s="19"/>
    </row>
    <row r="42" ht="12.75">
      <c r="B42" s="16"/>
    </row>
    <row r="43" spans="1:4" ht="12.75">
      <c r="A43" s="16"/>
      <c r="B43" s="16"/>
      <c r="C43" s="19"/>
      <c r="D43" s="19"/>
    </row>
    <row r="44" spans="1:4" ht="15">
      <c r="A44" s="16"/>
      <c r="B44" s="16"/>
      <c r="C44" s="75" t="s">
        <v>447</v>
      </c>
      <c r="D44" s="19"/>
    </row>
    <row r="45" spans="1:4" ht="12.75">
      <c r="A45" s="16"/>
      <c r="B45" s="16"/>
      <c r="C45" t="s">
        <v>448</v>
      </c>
      <c r="D45" s="19"/>
    </row>
    <row r="46" spans="1:4" ht="12.75">
      <c r="A46" s="16"/>
      <c r="B46" s="16"/>
      <c r="C46" t="s">
        <v>449</v>
      </c>
      <c r="D46" s="19"/>
    </row>
    <row r="47" spans="1:4" ht="12.75">
      <c r="A47" s="16"/>
      <c r="B47" s="16"/>
      <c r="C47" s="16"/>
      <c r="D47" s="19"/>
    </row>
    <row r="48" spans="1:4" ht="12.75">
      <c r="A48" s="16"/>
      <c r="B48" s="16"/>
      <c r="C48" s="16" t="s">
        <v>450</v>
      </c>
      <c r="D48" s="19"/>
    </row>
    <row r="49" spans="1:4" ht="12.75">
      <c r="A49" s="16"/>
      <c r="B49" s="16"/>
      <c r="C49" s="16"/>
      <c r="D49" s="19"/>
    </row>
    <row r="50" spans="1:4" ht="12.75">
      <c r="A50" s="16"/>
      <c r="B50" s="16"/>
      <c r="C50" s="76" t="s">
        <v>451</v>
      </c>
      <c r="D50" s="19"/>
    </row>
    <row r="51" spans="1:4" ht="12.75">
      <c r="A51" s="16"/>
      <c r="B51" s="16"/>
      <c r="C51" s="19" t="s">
        <v>452</v>
      </c>
      <c r="D51" s="19"/>
    </row>
    <row r="52" spans="1:4" ht="12.75">
      <c r="A52" s="16"/>
      <c r="B52" s="16"/>
      <c r="C52" s="19" t="s">
        <v>453</v>
      </c>
      <c r="D52" s="19"/>
    </row>
    <row r="53" spans="1:4" ht="12.75">
      <c r="A53" s="16"/>
      <c r="B53" s="16"/>
      <c r="C53" s="19" t="s">
        <v>454</v>
      </c>
      <c r="D53" s="19"/>
    </row>
    <row r="54" spans="1:4" ht="12.75">
      <c r="A54" s="16"/>
      <c r="B54" s="16"/>
      <c r="C54" s="19"/>
      <c r="D54" s="19"/>
    </row>
    <row r="56" spans="1:6" ht="12.75">
      <c r="A56" s="50" t="s">
        <v>2</v>
      </c>
      <c r="B56" s="36" t="s">
        <v>222</v>
      </c>
      <c r="C56" s="42" t="s">
        <v>237</v>
      </c>
      <c r="D56" s="19"/>
      <c r="E56" s="22" t="s">
        <v>80</v>
      </c>
      <c r="F56" s="22" t="s">
        <v>85</v>
      </c>
    </row>
    <row r="57" spans="1:8" ht="12.75">
      <c r="A57" s="16"/>
      <c r="C57" s="19"/>
      <c r="D57" s="19"/>
      <c r="E57" t="s">
        <v>109</v>
      </c>
      <c r="F57" t="s">
        <v>111</v>
      </c>
      <c r="G57" s="22"/>
      <c r="H57" s="22"/>
    </row>
    <row r="58" spans="3:8" ht="12.75">
      <c r="C58" s="19"/>
      <c r="D58" s="19"/>
      <c r="E58" s="23" t="s">
        <v>396</v>
      </c>
      <c r="F58" s="23" t="s">
        <v>396</v>
      </c>
      <c r="G58" s="22"/>
      <c r="H58" s="22"/>
    </row>
    <row r="59" spans="1:11" ht="12.75">
      <c r="A59" s="32">
        <f>A82-A82</f>
        <v>0</v>
      </c>
      <c r="B59" s="17">
        <f>0.3048*38</f>
        <v>11.5824</v>
      </c>
      <c r="C59" s="19" t="s">
        <v>245</v>
      </c>
      <c r="D59" s="19" t="s">
        <v>241</v>
      </c>
      <c r="E59" s="77">
        <v>0.28125</v>
      </c>
      <c r="F59" s="39">
        <v>0.4166666666666667</v>
      </c>
      <c r="H59" s="22"/>
      <c r="K59" s="22"/>
    </row>
    <row r="60" spans="1:11" ht="12.75">
      <c r="A60" s="34">
        <f>A82-A81</f>
        <v>64.03999999999999</v>
      </c>
      <c r="B60" s="17">
        <f>0.3048*40</f>
        <v>12.192</v>
      </c>
      <c r="C60" s="19" t="s">
        <v>244</v>
      </c>
      <c r="D60" s="19"/>
      <c r="E60" s="77">
        <v>0.3368055555555556</v>
      </c>
      <c r="F60" s="39">
        <v>0.46875</v>
      </c>
      <c r="H60" s="22"/>
      <c r="K60" s="22"/>
    </row>
    <row r="61" spans="1:8" ht="12.75">
      <c r="A61" s="32">
        <f>A82-A80</f>
        <v>80.60999999999999</v>
      </c>
      <c r="B61" s="17">
        <f>0.3048*33</f>
        <v>10.0584</v>
      </c>
      <c r="C61" s="19" t="s">
        <v>270</v>
      </c>
      <c r="D61" s="19"/>
      <c r="E61" s="56" t="s">
        <v>251</v>
      </c>
      <c r="F61" s="39">
        <v>0.4826388888888889</v>
      </c>
      <c r="H61" s="22"/>
    </row>
    <row r="62" spans="1:6" ht="12.75">
      <c r="A62" s="32">
        <f>(12*1.609)+A61</f>
        <v>99.91799999999998</v>
      </c>
      <c r="B62" s="17">
        <f>0.3048*21</f>
        <v>6.4008</v>
      </c>
      <c r="C62" s="19" t="s">
        <v>269</v>
      </c>
      <c r="D62" s="19" t="s">
        <v>246</v>
      </c>
      <c r="E62" s="56" t="s">
        <v>251</v>
      </c>
      <c r="F62" s="39">
        <v>0.5138888888888888</v>
      </c>
    </row>
    <row r="63" spans="1:8" ht="12.75">
      <c r="A63" s="32"/>
      <c r="B63" s="17">
        <f>B62</f>
        <v>6.4008</v>
      </c>
      <c r="C63" s="19" t="s">
        <v>269</v>
      </c>
      <c r="D63" s="19" t="s">
        <v>241</v>
      </c>
      <c r="E63" s="56" t="s">
        <v>251</v>
      </c>
      <c r="F63" s="39">
        <v>0.53125</v>
      </c>
      <c r="H63" s="22"/>
    </row>
    <row r="64" spans="1:8" ht="12.75">
      <c r="A64" s="32">
        <f>A82-A77</f>
        <v>80.60999999999999</v>
      </c>
      <c r="B64" s="17">
        <f>B61</f>
        <v>10.0584</v>
      </c>
      <c r="C64" s="19" t="s">
        <v>270</v>
      </c>
      <c r="D64" s="19"/>
      <c r="E64" s="56" t="s">
        <v>251</v>
      </c>
      <c r="F64" s="39">
        <v>0.5520833333333334</v>
      </c>
      <c r="H64" s="22"/>
    </row>
    <row r="65" spans="1:13" ht="12.75">
      <c r="A65" s="32">
        <f>A82-A76</f>
        <v>94.11999999999999</v>
      </c>
      <c r="B65" s="78">
        <v>38.829</v>
      </c>
      <c r="C65" s="19" t="s">
        <v>455</v>
      </c>
      <c r="D65" s="19"/>
      <c r="E65" s="56" t="s">
        <v>251</v>
      </c>
      <c r="F65" s="39">
        <v>0.5625</v>
      </c>
      <c r="H65" s="22"/>
      <c r="K65" s="22"/>
      <c r="L65" s="22"/>
      <c r="M65" s="22"/>
    </row>
    <row r="66" spans="1:8" ht="12.75">
      <c r="A66" s="32">
        <f>A82-A75</f>
        <v>110.64999999999999</v>
      </c>
      <c r="B66" s="17">
        <f>0.3048*1063</f>
        <v>324.0024</v>
      </c>
      <c r="C66" s="19" t="s">
        <v>456</v>
      </c>
      <c r="D66" s="19" t="s">
        <v>246</v>
      </c>
      <c r="E66" s="56" t="s">
        <v>251</v>
      </c>
      <c r="F66" s="39">
        <v>0.6284722222222222</v>
      </c>
      <c r="H66" s="22"/>
    </row>
    <row r="67" spans="1:8" ht="12.75">
      <c r="A67" s="32">
        <f>A82-A74</f>
        <v>178.23</v>
      </c>
      <c r="B67" s="17">
        <f>0.3048*20</f>
        <v>6.096</v>
      </c>
      <c r="C67" s="19" t="s">
        <v>219</v>
      </c>
      <c r="D67" s="19" t="s">
        <v>246</v>
      </c>
      <c r="E67" s="77">
        <v>0.4618055555555556</v>
      </c>
      <c r="F67" s="22"/>
      <c r="H67" s="22"/>
    </row>
    <row r="68" spans="2:9" ht="12.75">
      <c r="B68" s="16"/>
      <c r="C68" s="19" t="s">
        <v>457</v>
      </c>
      <c r="D68" s="19"/>
      <c r="E68" s="22"/>
      <c r="F68" s="22"/>
      <c r="H68" s="22"/>
      <c r="I68" s="22"/>
    </row>
    <row r="69" spans="2:9" ht="12.75">
      <c r="B69" s="16"/>
      <c r="C69" s="19" t="s">
        <v>458</v>
      </c>
      <c r="D69" s="19"/>
      <c r="F69" s="22"/>
      <c r="H69" s="22"/>
      <c r="I69" s="22"/>
    </row>
    <row r="70" spans="2:9" ht="12.75">
      <c r="B70" s="16"/>
      <c r="C70" s="19"/>
      <c r="D70" s="19"/>
      <c r="E70" s="22"/>
      <c r="F70" s="22"/>
      <c r="H70" s="22"/>
      <c r="I70" s="22"/>
    </row>
    <row r="71" spans="1:6" ht="12.75">
      <c r="A71" s="50" t="s">
        <v>2</v>
      </c>
      <c r="B71" s="36" t="s">
        <v>222</v>
      </c>
      <c r="C71" s="42" t="s">
        <v>223</v>
      </c>
      <c r="D71" s="19"/>
      <c r="E71" s="22" t="s">
        <v>85</v>
      </c>
      <c r="F71" s="22" t="s">
        <v>80</v>
      </c>
    </row>
    <row r="72" spans="5:8" ht="12.75">
      <c r="E72" t="s">
        <v>111</v>
      </c>
      <c r="F72" t="s">
        <v>109</v>
      </c>
      <c r="H72" s="22"/>
    </row>
    <row r="73" spans="1:6" ht="12.75">
      <c r="A73" s="16"/>
      <c r="B73" s="16"/>
      <c r="C73" s="19"/>
      <c r="D73" s="19"/>
      <c r="E73" s="23" t="s">
        <v>396</v>
      </c>
      <c r="F73" s="23" t="s">
        <v>396</v>
      </c>
    </row>
    <row r="74" spans="1:6" ht="12.75">
      <c r="A74">
        <v>0</v>
      </c>
      <c r="B74" s="44">
        <f>B67</f>
        <v>6.096</v>
      </c>
      <c r="C74" s="19" t="s">
        <v>219</v>
      </c>
      <c r="D74" s="19" t="s">
        <v>241</v>
      </c>
      <c r="F74" s="77">
        <v>0.75</v>
      </c>
    </row>
    <row r="75" spans="1:8" ht="12.75">
      <c r="A75" s="18">
        <v>67.58</v>
      </c>
      <c r="B75" s="32">
        <f>B66</f>
        <v>324.0024</v>
      </c>
      <c r="C75" s="19" t="s">
        <v>456</v>
      </c>
      <c r="D75" s="19"/>
      <c r="E75" s="39">
        <v>0.6388888888888888</v>
      </c>
      <c r="F75" s="56" t="s">
        <v>251</v>
      </c>
      <c r="H75" s="22"/>
    </row>
    <row r="76" spans="1:8" ht="12.75">
      <c r="A76" s="18">
        <v>84.11</v>
      </c>
      <c r="B76" s="79">
        <f>B65</f>
        <v>38.829</v>
      </c>
      <c r="C76" s="19" t="s">
        <v>455</v>
      </c>
      <c r="D76" s="19"/>
      <c r="E76" s="39">
        <v>0.7013888888888888</v>
      </c>
      <c r="F76" s="56" t="s">
        <v>251</v>
      </c>
      <c r="H76" s="22"/>
    </row>
    <row r="77" spans="1:8" ht="12.75">
      <c r="A77" s="18">
        <v>97.62</v>
      </c>
      <c r="B77" s="51">
        <f>B64</f>
        <v>10.0584</v>
      </c>
      <c r="C77" s="19" t="s">
        <v>270</v>
      </c>
      <c r="D77" s="19"/>
      <c r="E77" s="39">
        <v>0.71875</v>
      </c>
      <c r="F77" s="56" t="s">
        <v>251</v>
      </c>
      <c r="H77" s="22"/>
    </row>
    <row r="78" spans="1:6" ht="12.75">
      <c r="A78" s="32">
        <f>(12*1.609)+A77</f>
        <v>116.928</v>
      </c>
      <c r="B78" s="17">
        <f>B62</f>
        <v>6.4008</v>
      </c>
      <c r="C78" s="19" t="s">
        <v>269</v>
      </c>
      <c r="D78" s="19" t="s">
        <v>246</v>
      </c>
      <c r="E78" s="37">
        <v>0.7395833333333334</v>
      </c>
      <c r="F78" s="56" t="s">
        <v>251</v>
      </c>
    </row>
    <row r="79" spans="2:8" ht="12.75">
      <c r="B79" s="17">
        <f>B63</f>
        <v>6.4008</v>
      </c>
      <c r="C79" s="19" t="s">
        <v>269</v>
      </c>
      <c r="D79" s="19" t="s">
        <v>241</v>
      </c>
      <c r="E79" s="39">
        <v>0.78125</v>
      </c>
      <c r="F79" s="56" t="s">
        <v>251</v>
      </c>
      <c r="H79" s="22"/>
    </row>
    <row r="80" spans="1:8" ht="12.75">
      <c r="A80" s="18">
        <v>97.62</v>
      </c>
      <c r="B80" s="17">
        <f>B61</f>
        <v>10.0584</v>
      </c>
      <c r="C80" s="19" t="s">
        <v>270</v>
      </c>
      <c r="D80" s="19"/>
      <c r="E80" s="39">
        <v>0.8020833333333334</v>
      </c>
      <c r="F80" s="56" t="s">
        <v>251</v>
      </c>
      <c r="H80" s="22"/>
    </row>
    <row r="81" spans="1:8" ht="12.75">
      <c r="A81" s="18">
        <v>114.19</v>
      </c>
      <c r="B81" s="17">
        <f>B60</f>
        <v>12.192</v>
      </c>
      <c r="C81" s="19" t="s">
        <v>244</v>
      </c>
      <c r="D81" s="19"/>
      <c r="E81" s="39">
        <v>0.8159722222222222</v>
      </c>
      <c r="F81" s="77">
        <v>0.8715277777777778</v>
      </c>
      <c r="H81" s="22"/>
    </row>
    <row r="82" spans="1:8" ht="12.75">
      <c r="A82" s="18">
        <v>178.23</v>
      </c>
      <c r="B82" s="17">
        <f>B59</f>
        <v>11.5824</v>
      </c>
      <c r="C82" s="19" t="s">
        <v>245</v>
      </c>
      <c r="D82" s="19" t="s">
        <v>246</v>
      </c>
      <c r="E82" s="39">
        <v>0.8854166666666666</v>
      </c>
      <c r="F82" s="77">
        <v>0.9270833333333334</v>
      </c>
      <c r="H82" s="22"/>
    </row>
    <row r="83" spans="2:4" ht="12.75">
      <c r="B83" s="16"/>
      <c r="C83" s="19" t="s">
        <v>457</v>
      </c>
      <c r="D83" s="19"/>
    </row>
    <row r="84" spans="2:4" ht="12.75">
      <c r="B84" s="16"/>
      <c r="C84" s="19" t="s">
        <v>458</v>
      </c>
      <c r="D84" s="1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5.xml><?xml version="1.0" encoding="utf-8"?>
<worksheet xmlns="http://schemas.openxmlformats.org/spreadsheetml/2006/main" xmlns:r="http://schemas.openxmlformats.org/officeDocument/2006/relationships">
  <dimension ref="A1:IU120"/>
  <sheetViews>
    <sheetView zoomScale="80" zoomScaleNormal="80" workbookViewId="0" topLeftCell="A1">
      <selection activeCell="A1" sqref="A1"/>
    </sheetView>
  </sheetViews>
  <sheetFormatPr defaultColWidth="12.57421875" defaultRowHeight="12.75"/>
  <cols>
    <col min="1" max="1" width="4.8515625" style="16" customWidth="1"/>
    <col min="2" max="2" width="6.421875" style="16" customWidth="1"/>
    <col min="3" max="3" width="17.00390625" style="16" customWidth="1"/>
    <col min="4" max="4" width="2.140625" style="16" customWidth="1"/>
    <col min="5" max="255" width="11.57421875" style="16" customWidth="1"/>
    <col min="256" max="16384" width="11.57421875" style="0" customWidth="1"/>
  </cols>
  <sheetData>
    <row r="1" spans="1:255" ht="12.75">
      <c r="A1" s="3">
        <v>2007</v>
      </c>
      <c r="B1" s="3"/>
      <c r="C1" s="3" t="s">
        <v>34</v>
      </c>
      <c r="D1" s="19"/>
      <c r="E1" s="22">
        <v>2</v>
      </c>
      <c r="F1" s="22">
        <v>4</v>
      </c>
      <c r="G1"/>
      <c r="H1">
        <v>10</v>
      </c>
      <c r="I1">
        <v>10</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16" t="s">
        <v>2</v>
      </c>
      <c r="B2" s="36" t="s">
        <v>222</v>
      </c>
      <c r="C2" s="42" t="s">
        <v>223</v>
      </c>
      <c r="D2" s="19"/>
      <c r="E2" s="22" t="s">
        <v>83</v>
      </c>
      <c r="F2" s="22" t="s">
        <v>88</v>
      </c>
      <c r="G2"/>
      <c r="H2" s="22" t="s">
        <v>442</v>
      </c>
      <c r="I2" s="22" t="s">
        <v>88</v>
      </c>
      <c r="J2"/>
      <c r="K2" s="36"/>
      <c r="L2" s="15"/>
      <c r="M2"/>
      <c r="N2" s="57"/>
      <c r="O2" s="15"/>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12.75">
      <c r="B3"/>
      <c r="C3" s="19"/>
      <c r="D3" s="19"/>
      <c r="E3" t="s">
        <v>133</v>
      </c>
      <c r="F3" t="s">
        <v>134</v>
      </c>
      <c r="G3"/>
      <c r="H3" s="23" t="s">
        <v>93</v>
      </c>
      <c r="I3" s="11" t="s">
        <v>135</v>
      </c>
      <c r="J3"/>
      <c r="K3" s="23"/>
      <c r="L3" s="11"/>
      <c r="M3"/>
      <c r="N3" s="43"/>
      <c r="O3" s="15"/>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ht="12.75">
      <c r="B4"/>
      <c r="C4" s="19"/>
      <c r="D4" s="19"/>
      <c r="E4" s="36" t="s">
        <v>443</v>
      </c>
      <c r="F4" s="50" t="s">
        <v>90</v>
      </c>
      <c r="G4"/>
      <c r="H4" s="50" t="s">
        <v>90</v>
      </c>
      <c r="I4" s="50" t="s">
        <v>90</v>
      </c>
      <c r="J4"/>
      <c r="K4" s="43"/>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2.75">
      <c r="A5" s="32">
        <v>0</v>
      </c>
      <c r="B5" s="17">
        <f>0.3048*38</f>
        <v>11.5824</v>
      </c>
      <c r="C5" s="19" t="s">
        <v>245</v>
      </c>
      <c r="D5" s="19" t="s">
        <v>241</v>
      </c>
      <c r="E5" s="39">
        <v>0.34375</v>
      </c>
      <c r="F5"/>
      <c r="G5"/>
      <c r="H5" s="37">
        <v>0.3541666666666667</v>
      </c>
      <c r="I5" s="37">
        <v>0.3541666666666667</v>
      </c>
      <c r="J5"/>
      <c r="K5" s="39"/>
      <c r="L5" s="22"/>
      <c r="M5"/>
      <c r="N5" s="39"/>
      <c r="O5" s="3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75">
      <c r="A6" s="32">
        <v>73.2095</v>
      </c>
      <c r="B6" s="17">
        <f>0.3048*339</f>
        <v>103.3272</v>
      </c>
      <c r="C6" s="19" t="s">
        <v>248</v>
      </c>
      <c r="D6" s="19"/>
      <c r="E6" s="39">
        <v>0.3993055555555556</v>
      </c>
      <c r="F6"/>
      <c r="G6"/>
      <c r="H6" s="80">
        <v>0.4166666666666667</v>
      </c>
      <c r="I6" s="80">
        <v>0.4166666666666667</v>
      </c>
      <c r="J6"/>
      <c r="K6" s="70"/>
      <c r="L6"/>
      <c r="M6"/>
      <c r="N6" s="39"/>
      <c r="O6" s="3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75">
      <c r="A7" s="32">
        <v>180.8516</v>
      </c>
      <c r="B7" s="17">
        <f>0.3048*354</f>
        <v>107.89920000000001</v>
      </c>
      <c r="C7" s="19" t="s">
        <v>249</v>
      </c>
      <c r="D7" s="19"/>
      <c r="E7" s="39">
        <v>0.4618055555555556</v>
      </c>
      <c r="F7" s="39">
        <v>0.4895833333333333</v>
      </c>
      <c r="G7"/>
      <c r="H7" s="80">
        <v>0.4861111111111111</v>
      </c>
      <c r="I7" s="80">
        <v>0.4861111111111111</v>
      </c>
      <c r="J7"/>
      <c r="K7" s="39"/>
      <c r="L7" s="39"/>
      <c r="M7"/>
      <c r="N7" s="39"/>
      <c r="O7" s="3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2.75">
      <c r="A8" s="32">
        <v>196.1371</v>
      </c>
      <c r="B8" s="17">
        <f>0.3048*461</f>
        <v>140.5128</v>
      </c>
      <c r="C8" s="19" t="s">
        <v>309</v>
      </c>
      <c r="D8" s="47" t="s">
        <v>286</v>
      </c>
      <c r="E8" s="56" t="s">
        <v>251</v>
      </c>
      <c r="F8" s="39">
        <v>0.4979166666666667</v>
      </c>
      <c r="G8"/>
      <c r="H8" s="80">
        <v>0.49444444444444446</v>
      </c>
      <c r="I8" s="80">
        <v>0.49444444444444446</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2.75">
      <c r="A9" s="32">
        <v>215.9278</v>
      </c>
      <c r="B9" s="17">
        <f>0.3048*546</f>
        <v>166.4208</v>
      </c>
      <c r="C9" s="19" t="s">
        <v>250</v>
      </c>
      <c r="D9" s="47" t="s">
        <v>286</v>
      </c>
      <c r="E9" s="56" t="s">
        <v>251</v>
      </c>
      <c r="F9" s="39">
        <v>0.5138888888888888</v>
      </c>
      <c r="G9"/>
      <c r="H9" s="80">
        <v>0.5083333333333333</v>
      </c>
      <c r="I9" s="80">
        <v>0.5083333333333333</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2.75">
      <c r="A10" s="32">
        <v>230.7306</v>
      </c>
      <c r="B10" s="17">
        <f>0.3048*621</f>
        <v>189.2808</v>
      </c>
      <c r="C10" s="19" t="s">
        <v>310</v>
      </c>
      <c r="D10" s="47" t="s">
        <v>286</v>
      </c>
      <c r="E10" s="56" t="s">
        <v>251</v>
      </c>
      <c r="F10" s="39">
        <v>0.5243055555555556</v>
      </c>
      <c r="G10"/>
      <c r="H10" s="80">
        <v>0.51875</v>
      </c>
      <c r="I10" s="80">
        <v>0.51875</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2.75">
      <c r="A11" s="32">
        <v>239.5801</v>
      </c>
      <c r="B11" s="17">
        <f>0.3048*731</f>
        <v>222.80880000000002</v>
      </c>
      <c r="C11" s="19" t="s">
        <v>311</v>
      </c>
      <c r="D11" s="47" t="s">
        <v>286</v>
      </c>
      <c r="E11" s="56" t="s">
        <v>251</v>
      </c>
      <c r="F11" s="39">
        <v>0.5347222222222222</v>
      </c>
      <c r="G11"/>
      <c r="H11" s="80">
        <v>0.5298611111111111</v>
      </c>
      <c r="I11" s="80">
        <v>0.5298611111111111</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2.75">
      <c r="A12" s="32">
        <v>247.9469</v>
      </c>
      <c r="B12" s="17">
        <f>0.3048*879</f>
        <v>267.9192</v>
      </c>
      <c r="C12" s="19" t="s">
        <v>312</v>
      </c>
      <c r="D12" s="47" t="s">
        <v>286</v>
      </c>
      <c r="E12" s="56" t="s">
        <v>251</v>
      </c>
      <c r="F12" s="39">
        <v>0.5451388888888888</v>
      </c>
      <c r="G12"/>
      <c r="H12" s="80">
        <v>0.5465277777777777</v>
      </c>
      <c r="I12" s="80">
        <v>0.5465277777777777</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75">
      <c r="A13" s="32">
        <v>256.6355</v>
      </c>
      <c r="B13" s="17">
        <f>0.3048*1280</f>
        <v>390.144</v>
      </c>
      <c r="C13" s="19" t="s">
        <v>313</v>
      </c>
      <c r="D13" s="47" t="s">
        <v>286</v>
      </c>
      <c r="E13" s="56" t="s">
        <v>251</v>
      </c>
      <c r="F13" s="39">
        <v>0.5555555555555556</v>
      </c>
      <c r="G13"/>
      <c r="H13" s="80">
        <v>0.5548611111111111</v>
      </c>
      <c r="I13" s="80">
        <v>0.5548611111111111</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2.75">
      <c r="A14" s="32">
        <v>268.8639</v>
      </c>
      <c r="B14" s="17">
        <f>0.3048*1688</f>
        <v>514.5024000000001</v>
      </c>
      <c r="C14" s="19" t="s">
        <v>252</v>
      </c>
      <c r="D14" s="47" t="s">
        <v>286</v>
      </c>
      <c r="E14" s="56" t="s">
        <v>251</v>
      </c>
      <c r="F14" s="39">
        <v>0.5729166666666666</v>
      </c>
      <c r="G14"/>
      <c r="H14" s="80">
        <v>0.5659722222222222</v>
      </c>
      <c r="I14" s="80">
        <v>0.5659722222222222</v>
      </c>
      <c r="J14"/>
      <c r="K14" s="36"/>
      <c r="L14" s="39"/>
      <c r="M14"/>
      <c r="N14" s="39"/>
      <c r="O14" s="39"/>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2.75">
      <c r="A15" s="32">
        <v>375.5406</v>
      </c>
      <c r="B15" s="17">
        <f>0.3048*1732</f>
        <v>527.9136</v>
      </c>
      <c r="C15" s="19" t="s">
        <v>444</v>
      </c>
      <c r="D15" s="19"/>
      <c r="E15" s="39">
        <v>0.65625</v>
      </c>
      <c r="F15" s="22"/>
      <c r="G15"/>
      <c r="H15" s="70" t="s">
        <v>459</v>
      </c>
      <c r="I15" s="58"/>
      <c r="J15"/>
      <c r="K15" s="39"/>
      <c r="L15"/>
      <c r="M15"/>
      <c r="N15"/>
      <c r="O15" s="58"/>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2.75">
      <c r="A16" s="32">
        <v>393.2396</v>
      </c>
      <c r="B16" s="17">
        <f>0.3048*1368</f>
        <v>416.9664</v>
      </c>
      <c r="C16" s="19" t="s">
        <v>256</v>
      </c>
      <c r="D16" s="47" t="s">
        <v>286</v>
      </c>
      <c r="E16" s="56" t="s">
        <v>251</v>
      </c>
      <c r="F16" s="22"/>
      <c r="G16"/>
      <c r="H16" s="80">
        <v>0.6875</v>
      </c>
      <c r="I16" s="58"/>
      <c r="J16"/>
      <c r="K16" s="36"/>
      <c r="L16"/>
      <c r="M16"/>
      <c r="N16" s="39"/>
      <c r="O16" s="58"/>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2.75">
      <c r="A17" s="32">
        <v>478.5166</v>
      </c>
      <c r="B17" s="17">
        <f>0.3048*362</f>
        <v>110.33760000000001</v>
      </c>
      <c r="C17" s="19" t="s">
        <v>257</v>
      </c>
      <c r="D17" s="47" t="s">
        <v>286</v>
      </c>
      <c r="E17" s="56" t="s">
        <v>251</v>
      </c>
      <c r="F17" s="22"/>
      <c r="G17"/>
      <c r="H17" s="80">
        <v>0.7381944444444445</v>
      </c>
      <c r="I17" s="58"/>
      <c r="J17"/>
      <c r="K17" s="36"/>
      <c r="L17"/>
      <c r="M17"/>
      <c r="N17" s="39"/>
      <c r="O17" s="58"/>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 r="A18" s="32">
        <v>572.804</v>
      </c>
      <c r="B18" s="17">
        <f>0.3048*448</f>
        <v>136.5504</v>
      </c>
      <c r="C18" s="19" t="s">
        <v>258</v>
      </c>
      <c r="D18" s="19" t="s">
        <v>246</v>
      </c>
      <c r="E18" s="39">
        <v>0.8333333333333334</v>
      </c>
      <c r="F18" s="22"/>
      <c r="G18"/>
      <c r="H18" s="37">
        <v>0.8229166666666666</v>
      </c>
      <c r="I18"/>
      <c r="J18"/>
      <c r="K18" s="39"/>
      <c r="L18"/>
      <c r="M18"/>
      <c r="N18" s="39"/>
      <c r="O18" s="5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2:255" ht="12.75">
      <c r="B19"/>
      <c r="C19" s="19" t="s">
        <v>460</v>
      </c>
      <c r="D19" s="19"/>
      <c r="E19"/>
      <c r="F19" s="22"/>
      <c r="G19"/>
      <c r="H19"/>
      <c r="I19"/>
      <c r="J19"/>
      <c r="K19" s="19"/>
      <c r="L19" s="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2:255" ht="12.75">
      <c r="B20"/>
      <c r="C20" s="19" t="s">
        <v>290</v>
      </c>
      <c r="D20" s="19"/>
      <c r="E20"/>
      <c r="F20" s="22"/>
      <c r="G20"/>
      <c r="H20"/>
      <c r="I20"/>
      <c r="J20"/>
      <c r="K20" s="19"/>
      <c r="L20" s="19"/>
      <c r="M20"/>
      <c r="N20" s="19"/>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2:255" ht="12.75">
      <c r="B21"/>
      <c r="C21"/>
      <c r="D21" s="19"/>
      <c r="E21"/>
      <c r="F21" s="22"/>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 r="A22"/>
      <c r="B22"/>
      <c r="C22"/>
      <c r="D22"/>
      <c r="E22">
        <v>1</v>
      </c>
      <c r="F22">
        <v>3</v>
      </c>
      <c r="G22"/>
      <c r="H22">
        <v>9</v>
      </c>
      <c r="I22">
        <v>9</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 r="A23" s="16" t="s">
        <v>2</v>
      </c>
      <c r="B23" s="36" t="s">
        <v>222</v>
      </c>
      <c r="C23" s="42" t="s">
        <v>237</v>
      </c>
      <c r="D23" s="19"/>
      <c r="E23" t="s">
        <v>83</v>
      </c>
      <c r="F23" s="22" t="s">
        <v>88</v>
      </c>
      <c r="G23"/>
      <c r="H23" s="22" t="s">
        <v>442</v>
      </c>
      <c r="I23" s="22" t="s">
        <v>88</v>
      </c>
      <c r="J23"/>
      <c r="K23" s="36"/>
      <c r="L23" s="15"/>
      <c r="M23"/>
      <c r="N23" s="15"/>
      <c r="O23" s="5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2:255" ht="12.75">
      <c r="B24"/>
      <c r="C24" s="19"/>
      <c r="D24" s="19"/>
      <c r="E24" t="s">
        <v>111</v>
      </c>
      <c r="F24" t="s">
        <v>134</v>
      </c>
      <c r="G24"/>
      <c r="H24" s="23" t="s">
        <v>94</v>
      </c>
      <c r="I24" s="11" t="s">
        <v>135</v>
      </c>
      <c r="J24"/>
      <c r="K24" s="23"/>
      <c r="L24" s="11"/>
      <c r="M24"/>
      <c r="N24" s="43"/>
      <c r="O24" s="15"/>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2:255" ht="12.75">
      <c r="B25"/>
      <c r="C25" s="19"/>
      <c r="D25" s="19"/>
      <c r="E25" s="36" t="s">
        <v>443</v>
      </c>
      <c r="F25" s="50" t="s">
        <v>90</v>
      </c>
      <c r="G25"/>
      <c r="H25" s="50" t="s">
        <v>90</v>
      </c>
      <c r="I25" s="50" t="s">
        <v>90</v>
      </c>
      <c r="J25"/>
      <c r="K25" s="43"/>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32">
        <f>A18-A18</f>
        <v>0</v>
      </c>
      <c r="B26" s="17">
        <f>B18-B18</f>
        <v>0</v>
      </c>
      <c r="C26" s="19" t="s">
        <v>258</v>
      </c>
      <c r="D26" s="19" t="s">
        <v>241</v>
      </c>
      <c r="E26" s="39">
        <v>0.34375</v>
      </c>
      <c r="F26" s="22"/>
      <c r="G26"/>
      <c r="H26" s="37">
        <v>0.3541666666666667</v>
      </c>
      <c r="I26"/>
      <c r="J26"/>
      <c r="K26" s="39"/>
      <c r="L26" s="22"/>
      <c r="M26"/>
      <c r="N26" s="39"/>
      <c r="O26" s="58"/>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 r="A27" s="32">
        <f>A18-A17</f>
        <v>94.28739999999999</v>
      </c>
      <c r="B27" s="17">
        <f>B17</f>
        <v>110.33760000000001</v>
      </c>
      <c r="C27" s="19" t="s">
        <v>257</v>
      </c>
      <c r="D27" s="47" t="s">
        <v>286</v>
      </c>
      <c r="E27" s="56" t="s">
        <v>251</v>
      </c>
      <c r="F27" s="22"/>
      <c r="G27"/>
      <c r="H27" s="80">
        <v>0.4270833333333333</v>
      </c>
      <c r="I27" s="58"/>
      <c r="J27"/>
      <c r="K27" s="36"/>
      <c r="L27" s="22"/>
      <c r="M27"/>
      <c r="N27" s="39"/>
      <c r="O27" s="58"/>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 r="A28" s="32">
        <f>A18-A16</f>
        <v>179.56439999999998</v>
      </c>
      <c r="B28" s="17">
        <f>B16</f>
        <v>416.9664</v>
      </c>
      <c r="C28" s="19" t="s">
        <v>256</v>
      </c>
      <c r="D28" s="47" t="s">
        <v>286</v>
      </c>
      <c r="E28" s="56" t="s">
        <v>251</v>
      </c>
      <c r="F28" s="22"/>
      <c r="G28"/>
      <c r="H28" s="80">
        <v>0.4791666666666667</v>
      </c>
      <c r="I28" s="58"/>
      <c r="J28"/>
      <c r="K28" s="36"/>
      <c r="L28" s="22"/>
      <c r="M28"/>
      <c r="N28" s="39"/>
      <c r="O28" s="5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 r="A29" s="32">
        <f>A18-A15</f>
        <v>197.2634</v>
      </c>
      <c r="B29" s="17">
        <f>B15</f>
        <v>527.9136</v>
      </c>
      <c r="C29" s="19" t="s">
        <v>444</v>
      </c>
      <c r="D29" s="19"/>
      <c r="E29" s="39">
        <v>0.5104166666666666</v>
      </c>
      <c r="F29" s="22"/>
      <c r="G29"/>
      <c r="H29" s="70" t="s">
        <v>430</v>
      </c>
      <c r="I29" s="58"/>
      <c r="J29"/>
      <c r="K29" s="39"/>
      <c r="L29" s="22"/>
      <c r="M29"/>
      <c r="N29"/>
      <c r="O29" s="58"/>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75">
      <c r="A30" s="32">
        <f>A18-A14</f>
        <v>303.9401</v>
      </c>
      <c r="B30" s="17">
        <f>B14</f>
        <v>514.5024000000001</v>
      </c>
      <c r="C30" s="19" t="s">
        <v>252</v>
      </c>
      <c r="D30" s="47" t="s">
        <v>286</v>
      </c>
      <c r="E30" s="56" t="s">
        <v>251</v>
      </c>
      <c r="F30" s="39">
        <v>0.625</v>
      </c>
      <c r="G30"/>
      <c r="H30" s="80">
        <v>0.5993055555555555</v>
      </c>
      <c r="I30" s="80">
        <v>0.5798611111111112</v>
      </c>
      <c r="J30"/>
      <c r="K30" s="36"/>
      <c r="L30" s="39"/>
      <c r="M30"/>
      <c r="N30" s="39"/>
      <c r="O30" s="39"/>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32">
        <f>A18-A13</f>
        <v>316.1685</v>
      </c>
      <c r="B31" s="17">
        <f>B13</f>
        <v>390.144</v>
      </c>
      <c r="C31" s="19" t="s">
        <v>313</v>
      </c>
      <c r="D31" s="47" t="s">
        <v>286</v>
      </c>
      <c r="E31" s="56" t="s">
        <v>251</v>
      </c>
      <c r="F31" s="39">
        <v>0.6284722222222222</v>
      </c>
      <c r="G31"/>
      <c r="H31" s="80">
        <v>0.6173611111111111</v>
      </c>
      <c r="I31" s="80">
        <v>0.5923611111111111</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32">
        <f>A18-A12</f>
        <v>324.85709999999995</v>
      </c>
      <c r="B32" s="17">
        <f>B12</f>
        <v>267.9192</v>
      </c>
      <c r="C32" s="19" t="s">
        <v>312</v>
      </c>
      <c r="D32" s="47" t="s">
        <v>286</v>
      </c>
      <c r="E32" s="56" t="s">
        <v>251</v>
      </c>
      <c r="F32" s="39">
        <v>0.6527777777777778</v>
      </c>
      <c r="G32"/>
      <c r="H32" s="80">
        <v>0.61875</v>
      </c>
      <c r="I32" s="80">
        <v>0.6006944444444444</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32">
        <f>A18-A11</f>
        <v>333.22389999999996</v>
      </c>
      <c r="B33" s="17">
        <f>B11</f>
        <v>222.80880000000002</v>
      </c>
      <c r="C33" s="19" t="s">
        <v>311</v>
      </c>
      <c r="D33" s="47" t="s">
        <v>286</v>
      </c>
      <c r="E33" s="56" t="s">
        <v>251</v>
      </c>
      <c r="F33" s="39">
        <v>0.6666666666666666</v>
      </c>
      <c r="G33"/>
      <c r="H33" s="80">
        <v>0.6395833333333333</v>
      </c>
      <c r="I33" s="80">
        <v>0.6083333333333333</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32">
        <f>A18-A10</f>
        <v>342.0734</v>
      </c>
      <c r="B34" s="17">
        <f>B10</f>
        <v>189.2808</v>
      </c>
      <c r="C34" s="19" t="s">
        <v>310</v>
      </c>
      <c r="D34" s="47" t="s">
        <v>286</v>
      </c>
      <c r="E34" s="56" t="s">
        <v>251</v>
      </c>
      <c r="F34" s="39">
        <v>0.6770833333333334</v>
      </c>
      <c r="G34"/>
      <c r="H34" s="80">
        <v>0.6465277777777778</v>
      </c>
      <c r="I34" s="80">
        <v>0.6166666666666667</v>
      </c>
      <c r="J34"/>
      <c r="K34"/>
      <c r="L34"/>
      <c r="M34"/>
      <c r="N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2.75">
      <c r="A35" s="32">
        <f>A18-A9</f>
        <v>356.8762</v>
      </c>
      <c r="B35" s="17">
        <f>B9</f>
        <v>166.4208</v>
      </c>
      <c r="C35" s="19" t="s">
        <v>250</v>
      </c>
      <c r="D35" s="47" t="s">
        <v>286</v>
      </c>
      <c r="E35" s="56" t="s">
        <v>251</v>
      </c>
      <c r="F35" s="39">
        <v>0.6875</v>
      </c>
      <c r="G35"/>
      <c r="H35" s="80">
        <v>0.6569444444444444</v>
      </c>
      <c r="I35" s="80">
        <v>0.6284722222222222</v>
      </c>
      <c r="J35"/>
      <c r="K35" s="21"/>
      <c r="L35"/>
      <c r="M35" s="19"/>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32">
        <f>A18-A8</f>
        <v>376.66689999999994</v>
      </c>
      <c r="B36" s="17">
        <f>B8</f>
        <v>140.5128</v>
      </c>
      <c r="C36" s="19" t="s">
        <v>309</v>
      </c>
      <c r="D36" s="47" t="s">
        <v>286</v>
      </c>
      <c r="E36" s="56" t="s">
        <v>251</v>
      </c>
      <c r="F36" s="39">
        <v>0.7034722222222223</v>
      </c>
      <c r="G36"/>
      <c r="H36" s="80">
        <v>0.6708333333333333</v>
      </c>
      <c r="I36" s="80">
        <v>0.6451388888888889</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32">
        <f>A18-A7</f>
        <v>391.9524</v>
      </c>
      <c r="B37" s="17">
        <f>B7</f>
        <v>107.89920000000001</v>
      </c>
      <c r="C37" s="19" t="s">
        <v>249</v>
      </c>
      <c r="D37" s="19"/>
      <c r="E37" s="39">
        <v>0.6944444444444444</v>
      </c>
      <c r="F37" s="39">
        <v>0.71875</v>
      </c>
      <c r="G37"/>
      <c r="H37" s="80">
        <v>0.6875</v>
      </c>
      <c r="I37" s="39">
        <v>0.65625</v>
      </c>
      <c r="J37"/>
      <c r="K37" s="39"/>
      <c r="L37" s="39"/>
      <c r="M37"/>
      <c r="N37" s="39"/>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2.75">
      <c r="A38" s="32">
        <f>A18-A6</f>
        <v>499.5945</v>
      </c>
      <c r="B38" s="17">
        <f>B6</f>
        <v>103.3272</v>
      </c>
      <c r="C38" s="19" t="s">
        <v>248</v>
      </c>
      <c r="D38" s="19"/>
      <c r="E38" s="39">
        <v>0.7604166666666666</v>
      </c>
      <c r="F38"/>
      <c r="G38"/>
      <c r="H38" s="70" t="s">
        <v>435</v>
      </c>
      <c r="I38" s="70" t="s">
        <v>436</v>
      </c>
      <c r="J38"/>
      <c r="K38" s="70"/>
      <c r="L38" s="61"/>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2.75">
      <c r="A39" s="32">
        <f>A18-A5</f>
        <v>572.804</v>
      </c>
      <c r="B39" s="17">
        <f>B5</f>
        <v>11.5824</v>
      </c>
      <c r="C39" s="19" t="s">
        <v>245</v>
      </c>
      <c r="D39" s="19" t="s">
        <v>246</v>
      </c>
      <c r="E39" s="39">
        <v>0.8333333333333334</v>
      </c>
      <c r="F39"/>
      <c r="G39"/>
      <c r="H39" s="37">
        <v>0.8229166666666666</v>
      </c>
      <c r="I39" s="37">
        <v>0.7916666666666666</v>
      </c>
      <c r="J39"/>
      <c r="K39" s="39"/>
      <c r="L39"/>
      <c r="M39"/>
      <c r="N39" s="39"/>
      <c r="O39" s="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2:255" ht="12.75">
      <c r="B40"/>
      <c r="C40" s="16" t="s">
        <v>445</v>
      </c>
      <c r="D40" s="1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2.75">
      <c r="C41" s="19" t="s">
        <v>290</v>
      </c>
      <c r="D41" s="19"/>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5">
      <c r="C44" s="75" t="s">
        <v>447</v>
      </c>
      <c r="D44" s="19"/>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2.75">
      <c r="C45" t="s">
        <v>448</v>
      </c>
      <c r="D45" s="19"/>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2.75">
      <c r="C46" t="s">
        <v>449</v>
      </c>
      <c r="D46" s="19"/>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4:255" ht="12.75">
      <c r="D47" s="19"/>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2.75">
      <c r="C48" s="16" t="s">
        <v>450</v>
      </c>
      <c r="D48" s="19"/>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4:255" ht="12.75">
      <c r="D49" s="1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2.75">
      <c r="C50" s="76" t="s">
        <v>451</v>
      </c>
      <c r="D50" s="1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2.75">
      <c r="C51" s="19" t="s">
        <v>452</v>
      </c>
      <c r="D51" s="19"/>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255" ht="12.75">
      <c r="C52" s="19" t="s">
        <v>453</v>
      </c>
      <c r="D52" s="19"/>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3:255" ht="12.75">
      <c r="C53" s="19" t="s">
        <v>454</v>
      </c>
      <c r="D53" s="19"/>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255" ht="12.75">
      <c r="C54" s="19"/>
      <c r="D54" s="19"/>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s="50" t="s">
        <v>2</v>
      </c>
      <c r="B56" s="36" t="s">
        <v>222</v>
      </c>
      <c r="C56" s="42" t="s">
        <v>237</v>
      </c>
      <c r="D56" s="19"/>
      <c r="E56" s="22" t="s">
        <v>80</v>
      </c>
      <c r="F56" s="22" t="s">
        <v>85</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2:255" ht="12.75">
      <c r="B57"/>
      <c r="C57" s="19"/>
      <c r="D57" s="19"/>
      <c r="E57" t="s">
        <v>132</v>
      </c>
      <c r="F57" t="s">
        <v>133</v>
      </c>
      <c r="G57" s="22"/>
      <c r="H57" s="22"/>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ht="12.75">
      <c r="A58"/>
      <c r="B58"/>
      <c r="C58" s="19"/>
      <c r="D58" s="19"/>
      <c r="E58" s="23" t="s">
        <v>396</v>
      </c>
      <c r="F58" s="23" t="s">
        <v>396</v>
      </c>
      <c r="G58" s="22"/>
      <c r="H58" s="22"/>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ht="12.75">
      <c r="A59" s="32">
        <f>A82-A82</f>
        <v>0</v>
      </c>
      <c r="B59" s="17">
        <f>0.3048*38</f>
        <v>11.5824</v>
      </c>
      <c r="C59" s="19" t="s">
        <v>245</v>
      </c>
      <c r="D59" s="19" t="s">
        <v>241</v>
      </c>
      <c r="E59" s="77">
        <v>0.28125</v>
      </c>
      <c r="F59" s="39">
        <v>0.4166666666666667</v>
      </c>
      <c r="G59"/>
      <c r="H59" s="22"/>
      <c r="I59"/>
      <c r="J59"/>
      <c r="K59" s="22"/>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ht="12.75">
      <c r="A60" s="34">
        <f>A82-A81</f>
        <v>64.03999999999999</v>
      </c>
      <c r="B60" s="17">
        <f>0.3048*40</f>
        <v>12.192</v>
      </c>
      <c r="C60" s="19" t="s">
        <v>244</v>
      </c>
      <c r="D60" s="19"/>
      <c r="E60" s="77">
        <v>0.3368055555555556</v>
      </c>
      <c r="F60" s="39">
        <v>0.46875</v>
      </c>
      <c r="G60"/>
      <c r="H60" s="22"/>
      <c r="I60"/>
      <c r="J60"/>
      <c r="K60" s="22"/>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s="32">
        <f>A82-A80</f>
        <v>80.60999999999999</v>
      </c>
      <c r="B61" s="17">
        <f>0.3048*33</f>
        <v>10.0584</v>
      </c>
      <c r="C61" s="19" t="s">
        <v>270</v>
      </c>
      <c r="D61" s="19"/>
      <c r="E61" s="56" t="s">
        <v>251</v>
      </c>
      <c r="F61" s="39">
        <v>0.4826388888888889</v>
      </c>
      <c r="G61"/>
      <c r="H61" s="22"/>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32">
        <f>(12*1.609)+A61</f>
        <v>99.91799999999998</v>
      </c>
      <c r="B62" s="17">
        <f>0.3048*21</f>
        <v>6.4008</v>
      </c>
      <c r="C62" s="19" t="s">
        <v>269</v>
      </c>
      <c r="D62" s="19" t="s">
        <v>246</v>
      </c>
      <c r="E62" s="56" t="s">
        <v>251</v>
      </c>
      <c r="F62" s="39">
        <v>0.5138888888888888</v>
      </c>
      <c r="G62"/>
      <c r="H62"/>
      <c r="I62"/>
      <c r="J62"/>
      <c r="K62" s="72"/>
      <c r="L62" s="19"/>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ht="12.75">
      <c r="A63" s="32"/>
      <c r="B63" s="17">
        <f>B62</f>
        <v>6.4008</v>
      </c>
      <c r="C63" s="19" t="s">
        <v>269</v>
      </c>
      <c r="D63" s="19" t="s">
        <v>241</v>
      </c>
      <c r="E63" s="56" t="s">
        <v>251</v>
      </c>
      <c r="F63" s="39">
        <v>0.53125</v>
      </c>
      <c r="G63"/>
      <c r="H63" s="22"/>
      <c r="I63" s="42"/>
      <c r="J63"/>
      <c r="K63" s="23"/>
      <c r="L63" s="2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s="32">
        <f>A82-A77</f>
        <v>80.60999999999999</v>
      </c>
      <c r="B64" s="17">
        <f>B61</f>
        <v>10.0584</v>
      </c>
      <c r="C64" s="19" t="s">
        <v>270</v>
      </c>
      <c r="D64" s="19"/>
      <c r="E64" s="56" t="s">
        <v>251</v>
      </c>
      <c r="F64" s="39">
        <v>0.5520833333333334</v>
      </c>
      <c r="G64"/>
      <c r="H64" s="22"/>
      <c r="I64" s="35"/>
      <c r="J64" s="19"/>
      <c r="K64" s="43"/>
      <c r="L64" s="43"/>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32">
        <f>A82-A76</f>
        <v>94.11999999999999</v>
      </c>
      <c r="B65" s="78">
        <v>38.829</v>
      </c>
      <c r="C65" s="19" t="s">
        <v>455</v>
      </c>
      <c r="D65" s="19"/>
      <c r="E65" s="56" t="s">
        <v>251</v>
      </c>
      <c r="F65" s="39">
        <v>0.5625</v>
      </c>
      <c r="G65"/>
      <c r="H65" s="22"/>
      <c r="I65" s="19"/>
      <c r="J65" s="19"/>
      <c r="K65" s="39"/>
      <c r="L65" s="39"/>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32">
        <f>A82-A75</f>
        <v>110.64999999999999</v>
      </c>
      <c r="B66" s="17">
        <f>0.3048*1063</f>
        <v>324.0024</v>
      </c>
      <c r="C66" s="19" t="s">
        <v>456</v>
      </c>
      <c r="D66" s="19" t="s">
        <v>246</v>
      </c>
      <c r="E66" s="56" t="s">
        <v>251</v>
      </c>
      <c r="F66" s="39">
        <v>0.6284722222222222</v>
      </c>
      <c r="G66"/>
      <c r="H66" s="22"/>
      <c r="I66" s="19"/>
      <c r="J66" s="19"/>
      <c r="K66" s="36"/>
      <c r="L66" s="39"/>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32">
        <f>A82-A74</f>
        <v>178.23</v>
      </c>
      <c r="B67" s="17">
        <f>0.3048*20</f>
        <v>6.096</v>
      </c>
      <c r="C67" s="19" t="s">
        <v>219</v>
      </c>
      <c r="D67" s="19" t="s">
        <v>246</v>
      </c>
      <c r="E67" s="77">
        <v>0.4618055555555556</v>
      </c>
      <c r="F67" s="22"/>
      <c r="G67"/>
      <c r="H67" s="22"/>
      <c r="I67" s="19"/>
      <c r="J67" s="19"/>
      <c r="K67" s="36"/>
      <c r="L67" s="39"/>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c r="C68" s="19" t="s">
        <v>457</v>
      </c>
      <c r="D68" s="19"/>
      <c r="E68" s="22"/>
      <c r="F68" s="22"/>
      <c r="G68"/>
      <c r="H68" s="22"/>
      <c r="I68" s="19"/>
      <c r="J68" s="19"/>
      <c r="K68" s="39"/>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c r="C69" s="19" t="s">
        <v>458</v>
      </c>
      <c r="D69" s="19"/>
      <c r="E69"/>
      <c r="F69" s="22"/>
      <c r="G69"/>
      <c r="H69" s="22"/>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c r="C70" s="19"/>
      <c r="D70" s="19"/>
      <c r="E70" s="22"/>
      <c r="F70" s="22"/>
      <c r="G70"/>
      <c r="H70" s="22"/>
      <c r="I70"/>
      <c r="J70" s="19"/>
      <c r="K70" s="72"/>
      <c r="L70" s="19"/>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s="50" t="s">
        <v>2</v>
      </c>
      <c r="B71" s="36" t="s">
        <v>222</v>
      </c>
      <c r="C71" s="42" t="s">
        <v>223</v>
      </c>
      <c r="D71" s="19"/>
      <c r="E71" s="22" t="s">
        <v>85</v>
      </c>
      <c r="F71" s="22" t="s">
        <v>80</v>
      </c>
      <c r="G71"/>
      <c r="H71"/>
      <c r="I71" s="42"/>
      <c r="J71" s="19"/>
      <c r="K71" s="23"/>
      <c r="L71" s="23"/>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t="s">
        <v>133</v>
      </c>
      <c r="F72" t="s">
        <v>132</v>
      </c>
      <c r="G72"/>
      <c r="H72" s="22"/>
      <c r="I72" s="35"/>
      <c r="J72" s="19"/>
      <c r="K72" s="43"/>
      <c r="L72" s="43"/>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3:255" ht="12.75">
      <c r="C73" s="19"/>
      <c r="D73" s="19"/>
      <c r="E73" s="23" t="s">
        <v>396</v>
      </c>
      <c r="F73" s="23" t="s">
        <v>396</v>
      </c>
      <c r="G73"/>
      <c r="H73"/>
      <c r="I73" s="19"/>
      <c r="J73" s="19"/>
      <c r="K73"/>
      <c r="L73" s="39"/>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v>0</v>
      </c>
      <c r="B74" s="44">
        <f>B67</f>
        <v>6.096</v>
      </c>
      <c r="C74" s="19" t="s">
        <v>219</v>
      </c>
      <c r="D74" s="19" t="s">
        <v>241</v>
      </c>
      <c r="E74"/>
      <c r="F74" s="77">
        <v>0.75</v>
      </c>
      <c r="G74"/>
      <c r="H74"/>
      <c r="I74" s="19"/>
      <c r="J74" s="19"/>
      <c r="K74" s="39"/>
      <c r="L74" s="36"/>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s="18">
        <v>67.58</v>
      </c>
      <c r="B75" s="32">
        <f>B66</f>
        <v>324.0024</v>
      </c>
      <c r="C75" s="19" t="s">
        <v>456</v>
      </c>
      <c r="D75" s="19"/>
      <c r="E75" s="39">
        <v>0.6388888888888888</v>
      </c>
      <c r="F75" s="56" t="s">
        <v>251</v>
      </c>
      <c r="G75"/>
      <c r="H75" s="22"/>
      <c r="I75" s="19"/>
      <c r="J75" s="19"/>
      <c r="K75" s="39"/>
      <c r="L75" s="36"/>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s="18">
        <v>84.11</v>
      </c>
      <c r="B76" s="79">
        <f>B65</f>
        <v>38.829</v>
      </c>
      <c r="C76" s="19" t="s">
        <v>455</v>
      </c>
      <c r="D76" s="19"/>
      <c r="E76" s="39">
        <v>0.7013888888888888</v>
      </c>
      <c r="F76" s="56" t="s">
        <v>251</v>
      </c>
      <c r="G76"/>
      <c r="H76" s="22"/>
      <c r="I76" s="19"/>
      <c r="J76" s="19"/>
      <c r="K76" s="39"/>
      <c r="L76" s="39"/>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s="18">
        <v>97.62</v>
      </c>
      <c r="B77" s="51">
        <f>B64</f>
        <v>10.0584</v>
      </c>
      <c r="C77" s="19" t="s">
        <v>270</v>
      </c>
      <c r="D77" s="19"/>
      <c r="E77" s="39">
        <v>0.71875</v>
      </c>
      <c r="F77" s="56" t="s">
        <v>251</v>
      </c>
      <c r="G77"/>
      <c r="H77" s="22"/>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s="32">
        <f>(12*1.609)+A77</f>
        <v>116.928</v>
      </c>
      <c r="B78" s="17">
        <f>B62</f>
        <v>6.4008</v>
      </c>
      <c r="C78" s="19" t="s">
        <v>269</v>
      </c>
      <c r="D78" s="19" t="s">
        <v>246</v>
      </c>
      <c r="E78" s="37">
        <v>0.7395833333333334</v>
      </c>
      <c r="F78" s="56" t="s">
        <v>251</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s="17">
        <f>B63</f>
        <v>6.4008</v>
      </c>
      <c r="C79" s="19" t="s">
        <v>269</v>
      </c>
      <c r="D79" s="19" t="s">
        <v>241</v>
      </c>
      <c r="E79" s="39">
        <v>0.78125</v>
      </c>
      <c r="F79" s="56" t="s">
        <v>251</v>
      </c>
      <c r="G79"/>
      <c r="H79" s="22"/>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s="18">
        <v>97.62</v>
      </c>
      <c r="B80" s="17">
        <f>B61</f>
        <v>10.0584</v>
      </c>
      <c r="C80" s="19" t="s">
        <v>270</v>
      </c>
      <c r="D80" s="19"/>
      <c r="E80" s="39">
        <v>0.8020833333333334</v>
      </c>
      <c r="F80" s="56" t="s">
        <v>251</v>
      </c>
      <c r="G80"/>
      <c r="H80" s="22"/>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s="18">
        <v>114.19</v>
      </c>
      <c r="B81" s="17">
        <f>B60</f>
        <v>12.192</v>
      </c>
      <c r="C81" s="19" t="s">
        <v>244</v>
      </c>
      <c r="D81" s="19"/>
      <c r="E81" s="39">
        <v>0.8159722222222222</v>
      </c>
      <c r="F81" s="77">
        <v>0.8715277777777778</v>
      </c>
      <c r="G81"/>
      <c r="H81" s="22"/>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s="18">
        <v>178.23</v>
      </c>
      <c r="B82" s="17">
        <f>B59</f>
        <v>11.5824</v>
      </c>
      <c r="C82" s="19" t="s">
        <v>245</v>
      </c>
      <c r="D82" s="19" t="s">
        <v>246</v>
      </c>
      <c r="E82" s="39">
        <v>0.8854166666666666</v>
      </c>
      <c r="F82" s="77">
        <v>0.9270833333333334</v>
      </c>
      <c r="G82"/>
      <c r="H82" s="2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2.75">
      <c r="A83"/>
      <c r="C83" s="19" t="s">
        <v>457</v>
      </c>
      <c r="D83" s="19"/>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c r="C84" s="19" t="s">
        <v>458</v>
      </c>
      <c r="D84" s="19"/>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s="3">
        <v>2007</v>
      </c>
      <c r="B87"/>
      <c r="C87" s="35" t="s">
        <v>221</v>
      </c>
      <c r="D87"/>
      <c r="E87" s="36" t="s">
        <v>116</v>
      </c>
      <c r="F87" s="36" t="s">
        <v>120</v>
      </c>
      <c r="G87" s="36" t="s">
        <v>125</v>
      </c>
      <c r="H87" s="36" t="s">
        <v>130</v>
      </c>
      <c r="I87" s="36" t="s">
        <v>120</v>
      </c>
      <c r="J87" s="36" t="s">
        <v>125</v>
      </c>
      <c r="K87" s="36" t="s">
        <v>125</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s="36" t="s">
        <v>2</v>
      </c>
      <c r="B88" s="36" t="s">
        <v>222</v>
      </c>
      <c r="C88" s="35" t="s">
        <v>223</v>
      </c>
      <c r="D88"/>
      <c r="E88">
        <v>1</v>
      </c>
      <c r="F88">
        <v>21</v>
      </c>
      <c r="G88">
        <v>31</v>
      </c>
      <c r="H88" t="s">
        <v>129</v>
      </c>
      <c r="I88">
        <v>23</v>
      </c>
      <c r="J88">
        <v>41</v>
      </c>
      <c r="K88">
        <v>51</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23.25">
      <c r="A89"/>
      <c r="B89"/>
      <c r="C89" s="35" t="s">
        <v>224</v>
      </c>
      <c r="D89"/>
      <c r="E89" s="38" t="s">
        <v>117</v>
      </c>
      <c r="F89" s="38" t="s">
        <v>121</v>
      </c>
      <c r="G89" s="38" t="s">
        <v>126</v>
      </c>
      <c r="H89" s="38" t="s">
        <v>131</v>
      </c>
      <c r="I89" s="38" t="s">
        <v>123</v>
      </c>
      <c r="J89" s="38" t="s">
        <v>126</v>
      </c>
      <c r="K89" s="38" t="s">
        <v>128</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c r="B90"/>
      <c r="C90"/>
      <c r="D90"/>
      <c r="E90" s="81">
        <v>2</v>
      </c>
      <c r="F90" s="81" t="s">
        <v>461</v>
      </c>
      <c r="G90" s="81" t="s">
        <v>461</v>
      </c>
      <c r="H90" s="81">
        <v>2</v>
      </c>
      <c r="I90" s="81" t="s">
        <v>461</v>
      </c>
      <c r="J90" s="81" t="s">
        <v>461</v>
      </c>
      <c r="K90" s="81" t="s">
        <v>461</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s="18">
        <v>0</v>
      </c>
      <c r="B91" s="18">
        <v>0</v>
      </c>
      <c r="C91" t="s">
        <v>225</v>
      </c>
      <c r="D91" t="s">
        <v>241</v>
      </c>
      <c r="E91" s="40">
        <v>0.3125</v>
      </c>
      <c r="F91" s="37">
        <v>0.3333333333333333</v>
      </c>
      <c r="G91" s="37">
        <v>0.34375</v>
      </c>
      <c r="H91" s="37">
        <v>0.5</v>
      </c>
      <c r="I91" s="37">
        <v>0.5208333333333334</v>
      </c>
      <c r="J91" s="37">
        <v>0.53125</v>
      </c>
      <c r="K91" s="37">
        <v>0.6875</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s="18">
        <v>31.83</v>
      </c>
      <c r="B92" s="18">
        <f>0.3048*2885</f>
        <v>879.3480000000001</v>
      </c>
      <c r="C92" t="s">
        <v>228</v>
      </c>
      <c r="D92"/>
      <c r="E92" s="59" t="s">
        <v>251</v>
      </c>
      <c r="F92" s="59" t="s">
        <v>251</v>
      </c>
      <c r="G92" s="37">
        <v>0.40625</v>
      </c>
      <c r="H92" s="59" t="s">
        <v>251</v>
      </c>
      <c r="I92" s="59" t="s">
        <v>251</v>
      </c>
      <c r="J92" s="37">
        <v>0.59375</v>
      </c>
      <c r="K92" s="37">
        <v>0.75</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s="18">
        <v>43.63</v>
      </c>
      <c r="B93" s="18">
        <f>0.3048*2767</f>
        <v>843.3816</v>
      </c>
      <c r="C93" t="s">
        <v>120</v>
      </c>
      <c r="D93"/>
      <c r="E93" s="59" t="s">
        <v>251</v>
      </c>
      <c r="F93" s="37">
        <v>0.4166666666666667</v>
      </c>
      <c r="G93" s="82"/>
      <c r="H93" s="37">
        <v>0.5798611111111112</v>
      </c>
      <c r="I93" s="37">
        <v>0.5972222222222222</v>
      </c>
      <c r="J93" s="82"/>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s="18">
        <v>64.33</v>
      </c>
      <c r="B94" s="18">
        <f>0.3048*2158</f>
        <v>657.7584</v>
      </c>
      <c r="C94" t="s">
        <v>230</v>
      </c>
      <c r="D94" t="s">
        <v>246</v>
      </c>
      <c r="E94" s="59" t="s">
        <v>462</v>
      </c>
      <c r="F94"/>
      <c r="G94"/>
      <c r="H94"/>
      <c r="I94" s="59"/>
      <c r="J94" s="59"/>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s="18">
        <v>107.63</v>
      </c>
      <c r="B95" s="18">
        <f>0.3048*2164</f>
        <v>659.5872</v>
      </c>
      <c r="C95" t="s">
        <v>116</v>
      </c>
      <c r="D95" t="s">
        <v>246</v>
      </c>
      <c r="E95" s="37">
        <v>0.6041666666666666</v>
      </c>
      <c r="F95"/>
      <c r="G95"/>
      <c r="H95"/>
      <c r="I95" s="82"/>
      <c r="J95" s="82"/>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s="18">
        <v>176.83</v>
      </c>
      <c r="B96" s="18">
        <f>0.3048*2079</f>
        <v>633.6792</v>
      </c>
      <c r="C96" t="s">
        <v>231</v>
      </c>
      <c r="D96" t="s">
        <v>246</v>
      </c>
      <c r="E96"/>
      <c r="F96" s="82">
        <v>0.5</v>
      </c>
      <c r="G96"/>
      <c r="H96"/>
      <c r="I96" s="82"/>
      <c r="J96" s="82"/>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t="s">
        <v>232</v>
      </c>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t="s">
        <v>233</v>
      </c>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t="s">
        <v>234</v>
      </c>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t="s">
        <v>235</v>
      </c>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14" ht="12.75">
      <c r="A103"/>
      <c r="B103"/>
      <c r="C103" s="35" t="s">
        <v>221</v>
      </c>
      <c r="D103"/>
      <c r="E103" s="36" t="s">
        <v>125</v>
      </c>
      <c r="F103" s="36" t="s">
        <v>120</v>
      </c>
      <c r="G103" s="36" t="s">
        <v>125</v>
      </c>
      <c r="H103" s="36" t="s">
        <v>116</v>
      </c>
      <c r="I103" s="36" t="s">
        <v>130</v>
      </c>
      <c r="J103" s="36" t="s">
        <v>120</v>
      </c>
      <c r="K103" s="36" t="s">
        <v>125</v>
      </c>
      <c r="L103"/>
      <c r="M103"/>
      <c r="N103"/>
    </row>
    <row r="104" spans="1:255" ht="12.75">
      <c r="A104"/>
      <c r="B104"/>
      <c r="C104" s="35"/>
      <c r="D104"/>
      <c r="E104">
        <v>32</v>
      </c>
      <c r="F104">
        <v>22</v>
      </c>
      <c r="G104">
        <v>42</v>
      </c>
      <c r="H104">
        <v>2</v>
      </c>
      <c r="I104" t="s">
        <v>129</v>
      </c>
      <c r="J104">
        <v>24</v>
      </c>
      <c r="K104">
        <v>52</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23.25">
      <c r="A105" s="36" t="s">
        <v>2</v>
      </c>
      <c r="B105" s="36" t="s">
        <v>222</v>
      </c>
      <c r="C105" s="35" t="s">
        <v>237</v>
      </c>
      <c r="D105"/>
      <c r="E105" s="38" t="s">
        <v>126</v>
      </c>
      <c r="F105" s="38" t="s">
        <v>123</v>
      </c>
      <c r="G105" s="38" t="s">
        <v>126</v>
      </c>
      <c r="H105" s="38" t="s">
        <v>117</v>
      </c>
      <c r="I105" s="38" t="s">
        <v>131</v>
      </c>
      <c r="J105" s="38" t="s">
        <v>123</v>
      </c>
      <c r="K105" s="38" t="s">
        <v>128</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2.75">
      <c r="A106"/>
      <c r="B106"/>
      <c r="C106" s="35" t="s">
        <v>224</v>
      </c>
      <c r="D106"/>
      <c r="E106" s="81" t="s">
        <v>461</v>
      </c>
      <c r="F106" s="81" t="s">
        <v>461</v>
      </c>
      <c r="G106" s="81" t="s">
        <v>461</v>
      </c>
      <c r="H106" s="81">
        <v>2</v>
      </c>
      <c r="I106" s="81">
        <v>2</v>
      </c>
      <c r="J106" s="81" t="s">
        <v>461</v>
      </c>
      <c r="K106" s="81" t="s">
        <v>461</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12.75">
      <c r="A107" s="18">
        <f>A96-A96</f>
        <v>0</v>
      </c>
      <c r="B107" s="18">
        <f>0.3048*2079</f>
        <v>633.6792</v>
      </c>
      <c r="C107" t="s">
        <v>231</v>
      </c>
      <c r="D107" t="s">
        <v>241</v>
      </c>
      <c r="E107"/>
      <c r="F107"/>
      <c r="G107"/>
      <c r="H107" s="83" t="s">
        <v>463</v>
      </c>
      <c r="I107"/>
      <c r="J107" s="83" t="s">
        <v>464</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2.75">
      <c r="A108" s="34">
        <f>A109</f>
        <v>69.20000000000002</v>
      </c>
      <c r="B108" s="18">
        <f>0.3048*2164</f>
        <v>659.5872</v>
      </c>
      <c r="C108" t="s">
        <v>116</v>
      </c>
      <c r="D108" t="s">
        <v>246</v>
      </c>
      <c r="E108"/>
      <c r="F108"/>
      <c r="G108"/>
      <c r="H108" s="83" t="s">
        <v>465</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s="34">
        <f>A96-A95</f>
        <v>69.20000000000002</v>
      </c>
      <c r="B109" s="18">
        <f>0.3048*2164</f>
        <v>659.5872</v>
      </c>
      <c r="C109" t="s">
        <v>278</v>
      </c>
      <c r="D109" t="s">
        <v>241</v>
      </c>
      <c r="E109"/>
      <c r="F109"/>
      <c r="G109"/>
      <c r="H109" s="84">
        <v>0.4166666666666667</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s="34">
        <f>A96-A94</f>
        <v>112.50000000000001</v>
      </c>
      <c r="B110" s="18">
        <f>0.3048*2158</f>
        <v>657.7584</v>
      </c>
      <c r="C110" t="s">
        <v>230</v>
      </c>
      <c r="D110"/>
      <c r="E110"/>
      <c r="F110"/>
      <c r="G110"/>
      <c r="H110" s="59" t="s">
        <v>462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s="34">
        <f>A96-A93</f>
        <v>133.20000000000002</v>
      </c>
      <c r="B111" s="18">
        <f>0.3048*2767</f>
        <v>843.3816</v>
      </c>
      <c r="C111" t="s">
        <v>120</v>
      </c>
      <c r="D111"/>
      <c r="E111"/>
      <c r="F111" s="84">
        <v>0.4305555555555556</v>
      </c>
      <c r="G111"/>
      <c r="H111" s="59" t="s">
        <v>251</v>
      </c>
      <c r="I111" s="84">
        <v>0.5868055555555556</v>
      </c>
      <c r="J111" s="84">
        <v>0.6041666666666666</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s="34">
        <f>A96-A92</f>
        <v>145</v>
      </c>
      <c r="B112" s="18">
        <f>0.3048*2885</f>
        <v>879.3480000000001</v>
      </c>
      <c r="C112" t="s">
        <v>228</v>
      </c>
      <c r="D112"/>
      <c r="E112" s="37">
        <v>0.4166666666666667</v>
      </c>
      <c r="F112" s="59" t="s">
        <v>251</v>
      </c>
      <c r="G112" s="37">
        <v>0.6041666666666666</v>
      </c>
      <c r="H112" s="59" t="s">
        <v>251</v>
      </c>
      <c r="I112" s="59" t="s">
        <v>251</v>
      </c>
      <c r="J112" s="59" t="s">
        <v>251</v>
      </c>
      <c r="K112" s="37">
        <v>0.7916666666666666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s="34">
        <f>A96-A91</f>
        <v>176.83</v>
      </c>
      <c r="B113" s="18">
        <v>0</v>
      </c>
      <c r="C113" t="s">
        <v>225</v>
      </c>
      <c r="D113" t="s">
        <v>246</v>
      </c>
      <c r="E113" s="37">
        <v>0.4791666666666667</v>
      </c>
      <c r="F113" s="37">
        <v>0.5</v>
      </c>
      <c r="G113" s="37">
        <v>0.6666666666666666</v>
      </c>
      <c r="H113" s="84">
        <v>0.6875</v>
      </c>
      <c r="I113" s="37">
        <v>0.6666666666666666</v>
      </c>
      <c r="J113" s="37">
        <v>0.6875</v>
      </c>
      <c r="K113" s="37">
        <v>0.8541666666666666</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t="s">
        <v>239</v>
      </c>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t="s">
        <v>233</v>
      </c>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t="s">
        <v>234</v>
      </c>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t="s">
        <v>235</v>
      </c>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t="s">
        <v>466</v>
      </c>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t="s">
        <v>467</v>
      </c>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11" ht="12.75">
      <c r="A120"/>
      <c r="B120"/>
      <c r="C120"/>
      <c r="D120"/>
      <c r="E120"/>
      <c r="F120"/>
      <c r="G120"/>
      <c r="H120"/>
      <c r="I120"/>
      <c r="J120"/>
      <c r="K12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6.xml><?xml version="1.0" encoding="utf-8"?>
<worksheet xmlns="http://schemas.openxmlformats.org/spreadsheetml/2006/main" xmlns:r="http://schemas.openxmlformats.org/officeDocument/2006/relationships">
  <dimension ref="A1:IU101"/>
  <sheetViews>
    <sheetView zoomScale="80" zoomScaleNormal="80" workbookViewId="0" topLeftCell="A1">
      <selection activeCell="A1" sqref="A1"/>
    </sheetView>
  </sheetViews>
  <sheetFormatPr defaultColWidth="12.57421875" defaultRowHeight="12.75"/>
  <cols>
    <col min="1" max="1" width="4.8515625" style="16" customWidth="1"/>
    <col min="2" max="2" width="6.421875" style="16" customWidth="1"/>
    <col min="3" max="3" width="17.00390625" style="16" customWidth="1"/>
    <col min="4" max="4" width="2.140625" style="16" customWidth="1"/>
    <col min="5" max="255" width="11.57421875" style="16" customWidth="1"/>
    <col min="256" max="16384" width="11.57421875" style="0" customWidth="1"/>
  </cols>
  <sheetData>
    <row r="1" spans="1:255" ht="12.75">
      <c r="A1" s="3">
        <v>2008</v>
      </c>
      <c r="B1" s="3"/>
      <c r="C1" s="3" t="s">
        <v>34</v>
      </c>
      <c r="D1" s="19"/>
      <c r="E1" s="22">
        <v>2</v>
      </c>
      <c r="F1" s="22">
        <v>4</v>
      </c>
      <c r="G1"/>
      <c r="H1">
        <v>10</v>
      </c>
      <c r="I1">
        <v>10</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16" t="s">
        <v>2</v>
      </c>
      <c r="B2" s="36" t="s">
        <v>222</v>
      </c>
      <c r="C2" s="42" t="s">
        <v>223</v>
      </c>
      <c r="D2" s="19"/>
      <c r="E2" s="22" t="s">
        <v>83</v>
      </c>
      <c r="F2" s="22" t="s">
        <v>88</v>
      </c>
      <c r="G2"/>
      <c r="H2" s="22" t="s">
        <v>442</v>
      </c>
      <c r="I2" s="22" t="s">
        <v>88</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12.75">
      <c r="B3"/>
      <c r="C3" s="19"/>
      <c r="D3" s="19"/>
      <c r="E3" t="s">
        <v>137</v>
      </c>
      <c r="F3" t="s">
        <v>140</v>
      </c>
      <c r="G3"/>
      <c r="H3" s="23" t="s">
        <v>141</v>
      </c>
      <c r="I3" s="11" t="s">
        <v>143</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ht="12.75">
      <c r="B4"/>
      <c r="C4" s="19"/>
      <c r="D4" s="19"/>
      <c r="E4" s="23" t="s">
        <v>443</v>
      </c>
      <c r="F4" s="23" t="s">
        <v>90</v>
      </c>
      <c r="G4"/>
      <c r="H4" s="50" t="s">
        <v>90</v>
      </c>
      <c r="I4" s="50" t="s">
        <v>90</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2.75">
      <c r="A5" s="32">
        <v>0</v>
      </c>
      <c r="B5" s="17">
        <f>0.3048*38</f>
        <v>11.5824</v>
      </c>
      <c r="C5" s="19" t="s">
        <v>245</v>
      </c>
      <c r="D5" s="19" t="s">
        <v>241</v>
      </c>
      <c r="E5" s="39">
        <v>0.34375</v>
      </c>
      <c r="F5" s="22"/>
      <c r="G5"/>
      <c r="H5" s="37">
        <v>0.3541666666666667</v>
      </c>
      <c r="I5" s="37">
        <v>0.3541666666666667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75">
      <c r="A6" s="32">
        <f>A7</f>
        <v>73.2095</v>
      </c>
      <c r="B6" s="17">
        <f>B7</f>
        <v>103.3272</v>
      </c>
      <c r="C6" t="str">
        <f>C7</f>
        <v>Wasilla</v>
      </c>
      <c r="D6" s="19" t="s">
        <v>246</v>
      </c>
      <c r="E6" s="39">
        <v>0.3993055555555556</v>
      </c>
      <c r="F6" s="22"/>
      <c r="G6"/>
      <c r="H6" s="80">
        <f>H7</f>
        <v>0.4166666666666667</v>
      </c>
      <c r="I6" s="80">
        <f>I7</f>
        <v>0.4166666666666667</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75">
      <c r="A7" s="32">
        <v>73.2095</v>
      </c>
      <c r="B7" s="17">
        <f>0.3048*339</f>
        <v>103.3272</v>
      </c>
      <c r="C7" s="19" t="s">
        <v>248</v>
      </c>
      <c r="D7" s="19" t="s">
        <v>241</v>
      </c>
      <c r="E7" s="39">
        <v>0.4027777777777778</v>
      </c>
      <c r="F7" s="22"/>
      <c r="G7"/>
      <c r="H7" s="80">
        <v>0.4166666666666667</v>
      </c>
      <c r="I7" s="80">
        <v>0.4166666666666667</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2.75">
      <c r="A8" s="32">
        <f>A9</f>
        <v>180.8516</v>
      </c>
      <c r="B8" s="17">
        <f>B9</f>
        <v>107.89920000000001</v>
      </c>
      <c r="C8" t="str">
        <f>C9</f>
        <v>Talkeetna</v>
      </c>
      <c r="D8" s="19" t="s">
        <v>246</v>
      </c>
      <c r="E8" s="39">
        <v>0.4618055555555556</v>
      </c>
      <c r="F8" s="22"/>
      <c r="G8"/>
      <c r="H8" s="80">
        <f>H9</f>
        <v>0.4861111111111111</v>
      </c>
      <c r="I8" s="80">
        <f>I9</f>
        <v>0.4861111111111111</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2.75">
      <c r="A9" s="32">
        <v>180.8516</v>
      </c>
      <c r="B9" s="17">
        <f>0.3048*354</f>
        <v>107.89920000000001</v>
      </c>
      <c r="C9" s="19" t="s">
        <v>249</v>
      </c>
      <c r="D9" s="19" t="s">
        <v>241</v>
      </c>
      <c r="E9" s="39">
        <v>0.4756944444444444</v>
      </c>
      <c r="F9" s="39">
        <v>0.5104166666666666</v>
      </c>
      <c r="G9"/>
      <c r="H9" s="80">
        <v>0.4861111111111111</v>
      </c>
      <c r="I9" s="80">
        <v>0.4861111111111111</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2.75">
      <c r="A10" s="32">
        <v>196.1371</v>
      </c>
      <c r="B10" s="17">
        <f>0.3048*461</f>
        <v>140.5128</v>
      </c>
      <c r="C10" s="19" t="s">
        <v>309</v>
      </c>
      <c r="D10" s="47" t="s">
        <v>286</v>
      </c>
      <c r="E10" s="60" t="s">
        <v>251</v>
      </c>
      <c r="F10" s="39">
        <v>0.51875</v>
      </c>
      <c r="G10"/>
      <c r="H10" s="80">
        <v>0.49444444444444446</v>
      </c>
      <c r="I10" s="80">
        <v>0.49444444444444446</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2.75">
      <c r="A11" s="32">
        <v>215.9278</v>
      </c>
      <c r="B11" s="17">
        <f>0.3048*546</f>
        <v>166.4208</v>
      </c>
      <c r="C11" s="19" t="s">
        <v>250</v>
      </c>
      <c r="D11" s="47" t="s">
        <v>286</v>
      </c>
      <c r="E11" s="60" t="s">
        <v>251</v>
      </c>
      <c r="F11" s="39">
        <v>0.5347222222222222</v>
      </c>
      <c r="G11"/>
      <c r="H11" s="80">
        <v>0.5083333333333333</v>
      </c>
      <c r="I11" s="80">
        <v>0.5083333333333333</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2.75">
      <c r="A12" s="32">
        <v>230.7306</v>
      </c>
      <c r="B12" s="17">
        <f>0.3048*621</f>
        <v>189.2808</v>
      </c>
      <c r="C12" s="19" t="s">
        <v>310</v>
      </c>
      <c r="D12" s="47" t="s">
        <v>286</v>
      </c>
      <c r="E12" s="60" t="s">
        <v>251</v>
      </c>
      <c r="F12" s="39">
        <v>0.5451388888888888</v>
      </c>
      <c r="G12"/>
      <c r="H12" s="80">
        <v>0.51875</v>
      </c>
      <c r="I12" s="80">
        <v>0.51875</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75">
      <c r="A13" s="32">
        <v>239.5801</v>
      </c>
      <c r="B13" s="17">
        <f>0.3048*731</f>
        <v>222.80880000000002</v>
      </c>
      <c r="C13" s="19" t="s">
        <v>311</v>
      </c>
      <c r="D13" s="47" t="s">
        <v>286</v>
      </c>
      <c r="E13" s="60" t="s">
        <v>251</v>
      </c>
      <c r="F13" s="39">
        <v>0.5555555555555556</v>
      </c>
      <c r="G13"/>
      <c r="H13" s="80">
        <v>0.5298611111111111</v>
      </c>
      <c r="I13" s="80">
        <v>0.5298611111111111</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2.75">
      <c r="A14" s="32">
        <v>247.9469</v>
      </c>
      <c r="B14" s="17">
        <f>0.3048*879</f>
        <v>267.9192</v>
      </c>
      <c r="C14" s="19" t="s">
        <v>312</v>
      </c>
      <c r="D14" s="47" t="s">
        <v>286</v>
      </c>
      <c r="E14" s="60" t="s">
        <v>251</v>
      </c>
      <c r="F14" s="39">
        <v>0.5659722222222222</v>
      </c>
      <c r="G14"/>
      <c r="H14" s="80">
        <v>0.5465277777777777</v>
      </c>
      <c r="I14" s="80">
        <v>0.5465277777777777</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2.75">
      <c r="A15" s="32">
        <v>256.6355</v>
      </c>
      <c r="B15" s="17">
        <f>0.3048*1280</f>
        <v>390.144</v>
      </c>
      <c r="C15" s="19" t="s">
        <v>313</v>
      </c>
      <c r="D15" s="47" t="s">
        <v>286</v>
      </c>
      <c r="E15" s="60" t="s">
        <v>251</v>
      </c>
      <c r="F15" s="39">
        <v>0.5763888888888888</v>
      </c>
      <c r="G15"/>
      <c r="H15" s="80">
        <v>0.5548611111111111</v>
      </c>
      <c r="I15" s="80">
        <v>0.5548611111111111</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2.75">
      <c r="A16" s="32">
        <v>268.8639</v>
      </c>
      <c r="B16" s="17">
        <f>0.3048*1688</f>
        <v>514.5024000000001</v>
      </c>
      <c r="C16" s="19" t="s">
        <v>252</v>
      </c>
      <c r="D16" s="47" t="s">
        <v>286</v>
      </c>
      <c r="E16" s="60" t="s">
        <v>251</v>
      </c>
      <c r="F16" s="39">
        <v>0.59375</v>
      </c>
      <c r="G16"/>
      <c r="H16" s="80">
        <v>0.5659722222222222</v>
      </c>
      <c r="I16" s="80">
        <v>0.5659722222222222</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2.75">
      <c r="A17" s="32">
        <f>A18</f>
        <v>375.5406</v>
      </c>
      <c r="B17" s="17">
        <f>B18</f>
        <v>527.9136</v>
      </c>
      <c r="C17" t="str">
        <f>C18</f>
        <v>Denali</v>
      </c>
      <c r="D17" s="19" t="s">
        <v>246</v>
      </c>
      <c r="E17" s="39">
        <v>0.65625</v>
      </c>
      <c r="F17" s="22"/>
      <c r="G17"/>
      <c r="H17" s="85" t="str">
        <f>H18</f>
        <v>X 15:45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 r="A18" s="32">
        <v>375.5406</v>
      </c>
      <c r="B18" s="17">
        <f>0.3048*1732</f>
        <v>527.9136</v>
      </c>
      <c r="C18" s="19" t="s">
        <v>444</v>
      </c>
      <c r="D18" s="19" t="s">
        <v>241</v>
      </c>
      <c r="E18" s="39">
        <v>0.6736111111111112</v>
      </c>
      <c r="F18" s="22"/>
      <c r="G18"/>
      <c r="H18" s="70" t="s">
        <v>459</v>
      </c>
      <c r="I18" s="58"/>
      <c r="J18"/>
      <c r="K18" s="3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75">
      <c r="A19" s="32">
        <v>393.2396</v>
      </c>
      <c r="B19" s="17">
        <f>0.3048*1368</f>
        <v>416.9664</v>
      </c>
      <c r="C19" s="19" t="s">
        <v>256</v>
      </c>
      <c r="D19" s="47" t="s">
        <v>286</v>
      </c>
      <c r="E19" s="60" t="s">
        <v>251</v>
      </c>
      <c r="F19" s="22"/>
      <c r="G19"/>
      <c r="H19" s="80">
        <v>0.6875</v>
      </c>
      <c r="I19" s="58"/>
      <c r="J19"/>
      <c r="K19" s="3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 r="A20" s="32">
        <v>478.5166</v>
      </c>
      <c r="B20" s="17">
        <f>0.3048*362</f>
        <v>110.33760000000001</v>
      </c>
      <c r="C20" s="19" t="s">
        <v>257</v>
      </c>
      <c r="D20" s="47" t="s">
        <v>286</v>
      </c>
      <c r="E20" s="60" t="s">
        <v>251</v>
      </c>
      <c r="F20" s="22"/>
      <c r="G20"/>
      <c r="H20" s="80">
        <v>0.7381944444444445</v>
      </c>
      <c r="I20" s="58"/>
      <c r="J20"/>
      <c r="K20" s="36"/>
      <c r="L20"/>
      <c r="M20"/>
      <c r="N20" s="39"/>
      <c r="O20" s="58"/>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 r="A21" s="32">
        <v>572.804</v>
      </c>
      <c r="B21" s="17">
        <f>0.3048*448</f>
        <v>136.5504</v>
      </c>
      <c r="C21" s="19" t="s">
        <v>258</v>
      </c>
      <c r="D21" s="19" t="s">
        <v>246</v>
      </c>
      <c r="E21" s="39">
        <v>0.8333333333333334</v>
      </c>
      <c r="F21" s="22"/>
      <c r="G21"/>
      <c r="H21" s="37">
        <v>0.8229166666666666</v>
      </c>
      <c r="I21"/>
      <c r="J21"/>
      <c r="K21" s="39"/>
      <c r="L21"/>
      <c r="M21"/>
      <c r="N21" s="39"/>
      <c r="O21" s="58"/>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2:255" ht="12.75">
      <c r="B22"/>
      <c r="C22" s="19" t="s">
        <v>460</v>
      </c>
      <c r="D22" s="19"/>
      <c r="E22" s="22"/>
      <c r="F22" s="22"/>
      <c r="G22"/>
      <c r="H22"/>
      <c r="I22"/>
      <c r="J22"/>
      <c r="K22" s="1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2:255" ht="12.75">
      <c r="B23"/>
      <c r="C23" s="19" t="s">
        <v>290</v>
      </c>
      <c r="D23" s="19"/>
      <c r="E23" s="22"/>
      <c r="F23" s="22"/>
      <c r="G23"/>
      <c r="H23"/>
      <c r="I23"/>
      <c r="J23"/>
      <c r="K23" s="19"/>
      <c r="L23"/>
      <c r="M23"/>
      <c r="N23" s="19"/>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2:255" ht="12.75">
      <c r="B24"/>
      <c r="C24"/>
      <c r="D24" s="19"/>
      <c r="E24" s="22"/>
      <c r="F24" s="22"/>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 r="A25"/>
      <c r="B25"/>
      <c r="C25"/>
      <c r="D25"/>
      <c r="E25" s="22">
        <v>1</v>
      </c>
      <c r="F25" s="22">
        <v>3</v>
      </c>
      <c r="G25"/>
      <c r="H25">
        <v>9</v>
      </c>
      <c r="I25">
        <v>9</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16" t="s">
        <v>2</v>
      </c>
      <c r="B26" s="36" t="s">
        <v>222</v>
      </c>
      <c r="C26" s="42" t="s">
        <v>237</v>
      </c>
      <c r="D26" s="19"/>
      <c r="E26" s="22" t="s">
        <v>83</v>
      </c>
      <c r="F26" s="22" t="s">
        <v>88</v>
      </c>
      <c r="G26"/>
      <c r="H26" s="22" t="s">
        <v>442</v>
      </c>
      <c r="I26" s="22" t="s">
        <v>88</v>
      </c>
      <c r="J26"/>
      <c r="K26" s="36"/>
      <c r="L26"/>
      <c r="M26"/>
      <c r="N26" s="15"/>
      <c r="O26" s="57"/>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2:255" ht="12.75">
      <c r="B27"/>
      <c r="C27" s="19"/>
      <c r="D27" s="19"/>
      <c r="E27" s="22" t="s">
        <v>138</v>
      </c>
      <c r="F27" s="22" t="s">
        <v>140</v>
      </c>
      <c r="G27"/>
      <c r="H27" s="23" t="s">
        <v>142</v>
      </c>
      <c r="I27" s="11" t="s">
        <v>143</v>
      </c>
      <c r="J27"/>
      <c r="K27" s="23"/>
      <c r="L27"/>
      <c r="M27"/>
      <c r="N27" s="43"/>
      <c r="O27" s="15"/>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2:255" ht="12.75">
      <c r="B28"/>
      <c r="C28" s="19"/>
      <c r="D28" s="19"/>
      <c r="E28" s="23" t="s">
        <v>443</v>
      </c>
      <c r="F28" s="23" t="s">
        <v>90</v>
      </c>
      <c r="G28"/>
      <c r="H28" s="50" t="s">
        <v>90</v>
      </c>
      <c r="I28" s="50" t="s">
        <v>90</v>
      </c>
      <c r="J28"/>
      <c r="K28" s="43"/>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 r="A29" s="32">
        <f>A21-A21</f>
        <v>0</v>
      </c>
      <c r="B29" s="17">
        <f>B21-B21</f>
        <v>0</v>
      </c>
      <c r="C29" s="19" t="s">
        <v>258</v>
      </c>
      <c r="D29" s="19" t="s">
        <v>241</v>
      </c>
      <c r="E29" s="39">
        <v>0.34375</v>
      </c>
      <c r="F29" s="22"/>
      <c r="G29"/>
      <c r="H29" s="37">
        <v>0.3541666666666667</v>
      </c>
      <c r="I29"/>
      <c r="J29"/>
      <c r="K29" s="39"/>
      <c r="L29"/>
      <c r="M29"/>
      <c r="N29" s="39"/>
      <c r="O29" s="58"/>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75">
      <c r="A30" s="32">
        <f>A21-A20</f>
        <v>94.28739999999999</v>
      </c>
      <c r="B30" s="17">
        <f>B20</f>
        <v>110.33760000000001</v>
      </c>
      <c r="C30" s="19" t="s">
        <v>257</v>
      </c>
      <c r="D30" s="47" t="s">
        <v>286</v>
      </c>
      <c r="E30" s="60" t="s">
        <v>251</v>
      </c>
      <c r="F30" s="22"/>
      <c r="G30"/>
      <c r="H30" s="80">
        <v>0.4270833333333333</v>
      </c>
      <c r="I30" s="58"/>
      <c r="J30"/>
      <c r="K30" s="36"/>
      <c r="L30"/>
      <c r="M30"/>
      <c r="N30" s="39"/>
      <c r="O30" s="5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32">
        <f>A21-A19</f>
        <v>179.56439999999998</v>
      </c>
      <c r="B31" s="17">
        <f>B19</f>
        <v>416.9664</v>
      </c>
      <c r="C31" s="19" t="s">
        <v>256</v>
      </c>
      <c r="D31" s="47" t="s">
        <v>286</v>
      </c>
      <c r="E31" s="60" t="s">
        <v>251</v>
      </c>
      <c r="F31" s="22"/>
      <c r="G31"/>
      <c r="H31" s="80">
        <v>0.4791666666666667</v>
      </c>
      <c r="I31" s="58"/>
      <c r="J31"/>
      <c r="K31" s="36"/>
      <c r="L31"/>
      <c r="M31"/>
      <c r="N31" s="39"/>
      <c r="O31" s="58"/>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32">
        <f>A33</f>
        <v>197.2634</v>
      </c>
      <c r="B32" s="17">
        <f>B33</f>
        <v>527.9136</v>
      </c>
      <c r="C32" t="str">
        <f>C33</f>
        <v>Denali</v>
      </c>
      <c r="D32" s="19" t="s">
        <v>246</v>
      </c>
      <c r="E32" s="39">
        <v>0.5104166666666666</v>
      </c>
      <c r="F32" s="22"/>
      <c r="G32"/>
      <c r="H32" s="85" t="str">
        <f>H33</f>
        <v>X 12:15</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32">
        <f>A21-A18</f>
        <v>197.2634</v>
      </c>
      <c r="B33" s="17">
        <f>B18</f>
        <v>527.9136</v>
      </c>
      <c r="C33" s="19" t="s">
        <v>444</v>
      </c>
      <c r="D33" s="19" t="s">
        <v>241</v>
      </c>
      <c r="E33" s="39">
        <v>0.5277777777777778</v>
      </c>
      <c r="F33" s="22"/>
      <c r="G33"/>
      <c r="H33" s="70" t="s">
        <v>430</v>
      </c>
      <c r="I33" s="58"/>
      <c r="J33"/>
      <c r="K33" s="39"/>
      <c r="L33"/>
      <c r="M33"/>
      <c r="N33"/>
      <c r="O33" s="58"/>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32">
        <f>A21-A16</f>
        <v>303.9401</v>
      </c>
      <c r="B34" s="17">
        <f>B16</f>
        <v>514.5024000000001</v>
      </c>
      <c r="C34" s="19" t="s">
        <v>252</v>
      </c>
      <c r="D34" s="47" t="s">
        <v>286</v>
      </c>
      <c r="E34" s="60" t="s">
        <v>251</v>
      </c>
      <c r="F34" s="39">
        <v>0.6458333333333334</v>
      </c>
      <c r="G34"/>
      <c r="H34" s="80">
        <v>0.5993055555555555</v>
      </c>
      <c r="I34" s="80">
        <v>0.5798611111111112</v>
      </c>
      <c r="J34"/>
      <c r="K34"/>
      <c r="L34"/>
      <c r="M34"/>
      <c r="N34" s="39"/>
      <c r="O34" s="39"/>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2.75">
      <c r="A35" s="32">
        <f>A21-A15</f>
        <v>316.1685</v>
      </c>
      <c r="B35" s="17">
        <f>B15</f>
        <v>390.144</v>
      </c>
      <c r="C35" s="19" t="s">
        <v>313</v>
      </c>
      <c r="D35" s="47" t="s">
        <v>286</v>
      </c>
      <c r="E35" s="60" t="s">
        <v>251</v>
      </c>
      <c r="F35" s="39">
        <v>0.6631944444444444</v>
      </c>
      <c r="G35"/>
      <c r="H35" s="80">
        <v>0.6173611111111111</v>
      </c>
      <c r="I35" s="80">
        <v>0.5923611111111111</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32">
        <f>A21-A14</f>
        <v>324.85709999999995</v>
      </c>
      <c r="B36" s="17">
        <f>B14</f>
        <v>267.9192</v>
      </c>
      <c r="C36" s="19" t="s">
        <v>312</v>
      </c>
      <c r="D36" s="47" t="s">
        <v>286</v>
      </c>
      <c r="E36" s="60" t="s">
        <v>251</v>
      </c>
      <c r="F36" s="39">
        <v>0.6736111111111112</v>
      </c>
      <c r="G36"/>
      <c r="H36" s="80">
        <v>0.61875</v>
      </c>
      <c r="I36" s="80">
        <v>0.6006944444444444</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32">
        <f>A21-A13</f>
        <v>333.22389999999996</v>
      </c>
      <c r="B37" s="17">
        <f>B13</f>
        <v>222.80880000000002</v>
      </c>
      <c r="C37" s="19" t="s">
        <v>311</v>
      </c>
      <c r="D37" s="47" t="s">
        <v>286</v>
      </c>
      <c r="E37" s="60" t="s">
        <v>251</v>
      </c>
      <c r="F37" s="39">
        <v>0.6805555555555556</v>
      </c>
      <c r="G37"/>
      <c r="H37" s="80">
        <v>0.6395833333333333</v>
      </c>
      <c r="I37" s="80">
        <v>0.6083333333333333</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2.75">
      <c r="A38" s="32">
        <f>A21-A12</f>
        <v>342.0734</v>
      </c>
      <c r="B38" s="17">
        <f>B12</f>
        <v>189.2808</v>
      </c>
      <c r="C38" s="19" t="s">
        <v>310</v>
      </c>
      <c r="D38" s="47" t="s">
        <v>286</v>
      </c>
      <c r="E38" s="60" t="s">
        <v>251</v>
      </c>
      <c r="F38" s="39">
        <v>0.6979166666666666</v>
      </c>
      <c r="G38"/>
      <c r="H38" s="80">
        <v>0.6465277777777778</v>
      </c>
      <c r="I38" s="80">
        <v>0.6166666666666667</v>
      </c>
      <c r="J38"/>
      <c r="K38"/>
      <c r="L38"/>
      <c r="M38"/>
      <c r="N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2.75">
      <c r="A39" s="32">
        <f>A21-A11</f>
        <v>356.8762</v>
      </c>
      <c r="B39" s="17">
        <f>B11</f>
        <v>166.4208</v>
      </c>
      <c r="C39" s="19" t="s">
        <v>250</v>
      </c>
      <c r="D39" s="47" t="s">
        <v>286</v>
      </c>
      <c r="E39" s="60" t="s">
        <v>251</v>
      </c>
      <c r="F39" s="39">
        <v>0.7083333333333334</v>
      </c>
      <c r="G39"/>
      <c r="H39" s="80">
        <v>0.6569444444444444</v>
      </c>
      <c r="I39" s="80">
        <v>0.6284722222222222</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32">
        <f>A21-A10</f>
        <v>376.66689999999994</v>
      </c>
      <c r="B40" s="17">
        <f>B10</f>
        <v>140.5128</v>
      </c>
      <c r="C40" s="19" t="s">
        <v>309</v>
      </c>
      <c r="D40" s="47" t="s">
        <v>286</v>
      </c>
      <c r="E40" s="60" t="s">
        <v>251</v>
      </c>
      <c r="F40" s="39">
        <v>0.7243055555555555</v>
      </c>
      <c r="G40"/>
      <c r="H40" s="80">
        <v>0.6708333333333333</v>
      </c>
      <c r="I40" s="80">
        <v>0.6451388888888889</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32">
        <f>A42</f>
        <v>391.9524</v>
      </c>
      <c r="B41" s="17">
        <f>B42</f>
        <v>107.89920000000001</v>
      </c>
      <c r="C41" t="str">
        <f>C42</f>
        <v>Talkeetna</v>
      </c>
      <c r="D41" s="19" t="s">
        <v>246</v>
      </c>
      <c r="E41" s="39">
        <v>0.6944444444444444</v>
      </c>
      <c r="F41" s="39">
        <v>0.7395833333333334</v>
      </c>
      <c r="G41"/>
      <c r="H41" s="80">
        <f>H42</f>
        <v>0.6875</v>
      </c>
      <c r="I41" s="80">
        <v>0.6527777777777778</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32">
        <f>A21-A9</f>
        <v>391.9524</v>
      </c>
      <c r="B42" s="17">
        <f>B9</f>
        <v>107.89920000000001</v>
      </c>
      <c r="C42" s="19" t="s">
        <v>249</v>
      </c>
      <c r="D42" s="19" t="s">
        <v>241</v>
      </c>
      <c r="E42" s="39">
        <v>0.7048611111111112</v>
      </c>
      <c r="F42" s="22"/>
      <c r="G42"/>
      <c r="H42" s="80">
        <v>0.6875</v>
      </c>
      <c r="I42" s="80">
        <v>0.6527777777777778</v>
      </c>
      <c r="J42"/>
      <c r="K42" s="39"/>
      <c r="L42" s="39"/>
      <c r="M42"/>
      <c r="N42" s="39"/>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32">
        <f>A44</f>
        <v>499.5945</v>
      </c>
      <c r="B43" s="17">
        <f>B44</f>
        <v>103.3272</v>
      </c>
      <c r="C43" t="str">
        <f>C44</f>
        <v>Wasilla</v>
      </c>
      <c r="D43" s="19" t="s">
        <v>246</v>
      </c>
      <c r="E43" s="39">
        <v>0.7604166666666666</v>
      </c>
      <c r="F43" s="22"/>
      <c r="G43"/>
      <c r="H43" s="85" t="str">
        <f>H44</f>
        <v>X 18:00</v>
      </c>
      <c r="I43" s="85" t="str">
        <f>I44</f>
        <v>X 17:14</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32">
        <f>A21-A7</f>
        <v>499.5945</v>
      </c>
      <c r="B44" s="17">
        <f>B7</f>
        <v>103.3272</v>
      </c>
      <c r="C44" s="19" t="s">
        <v>248</v>
      </c>
      <c r="D44" s="19" t="s">
        <v>241</v>
      </c>
      <c r="E44" s="39">
        <v>0.7638888888888888</v>
      </c>
      <c r="F44" s="22"/>
      <c r="G44"/>
      <c r="H44" s="70" t="s">
        <v>435</v>
      </c>
      <c r="I44" s="70" t="s">
        <v>436</v>
      </c>
      <c r="J44"/>
      <c r="K44" s="70"/>
      <c r="L44" s="61"/>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32">
        <f>A21-A5</f>
        <v>572.804</v>
      </c>
      <c r="B45" s="17">
        <f>B5</f>
        <v>11.5824</v>
      </c>
      <c r="C45" s="19" t="s">
        <v>245</v>
      </c>
      <c r="D45" s="19" t="s">
        <v>246</v>
      </c>
      <c r="E45" s="39">
        <v>0.8333333333333334</v>
      </c>
      <c r="F45" s="22"/>
      <c r="G45"/>
      <c r="H45" s="37">
        <v>0.8229166666666666</v>
      </c>
      <c r="I45" s="37">
        <v>0.7916666666666666</v>
      </c>
      <c r="J45"/>
      <c r="K45" s="39"/>
      <c r="L45"/>
      <c r="M45"/>
      <c r="N45" s="39"/>
      <c r="O45" s="39"/>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2:255" ht="12.75">
      <c r="B46"/>
      <c r="C46" s="16" t="s">
        <v>445</v>
      </c>
      <c r="D46" s="19"/>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2.75">
      <c r="C47" s="19" t="s">
        <v>290</v>
      </c>
      <c r="D47" s="19"/>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5">
      <c r="C50" s="75" t="s">
        <v>447</v>
      </c>
      <c r="D50" s="1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2.75">
      <c r="C51" t="s">
        <v>448</v>
      </c>
      <c r="D51" s="19"/>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255" ht="12.75">
      <c r="C52" t="s">
        <v>449</v>
      </c>
      <c r="D52" s="19"/>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4:255" ht="12.75">
      <c r="D53" s="19"/>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255" ht="12.75">
      <c r="C54" s="16" t="s">
        <v>450</v>
      </c>
      <c r="D54" s="19"/>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4:255" ht="12.75">
      <c r="D55" s="19"/>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3:255" ht="12.75">
      <c r="C56" s="76" t="s">
        <v>451</v>
      </c>
      <c r="D56" s="19"/>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3:255" ht="12.75">
      <c r="C57" s="19" t="s">
        <v>452</v>
      </c>
      <c r="D57" s="19"/>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3:255" ht="12.75">
      <c r="C58" s="19" t="s">
        <v>453</v>
      </c>
      <c r="D58" s="19"/>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3:255" ht="12.75">
      <c r="C59" s="19" t="s">
        <v>454</v>
      </c>
      <c r="D59" s="1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3:255" ht="12.75">
      <c r="C60" s="19"/>
      <c r="D60" s="19"/>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50" t="s">
        <v>2</v>
      </c>
      <c r="B62" s="36" t="s">
        <v>222</v>
      </c>
      <c r="C62" s="42" t="s">
        <v>237</v>
      </c>
      <c r="D62" s="19"/>
      <c r="E62" s="22" t="s">
        <v>80</v>
      </c>
      <c r="F62" s="22" t="s">
        <v>85</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2:255" ht="12.75">
      <c r="B63"/>
      <c r="C63" s="19"/>
      <c r="D63" s="19"/>
      <c r="E63" t="s">
        <v>136</v>
      </c>
      <c r="F63" t="s">
        <v>139</v>
      </c>
      <c r="G63" s="22"/>
      <c r="H63" s="22"/>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c r="B64"/>
      <c r="C64" s="19"/>
      <c r="D64" s="19"/>
      <c r="E64" s="23" t="s">
        <v>443</v>
      </c>
      <c r="F64" s="23" t="s">
        <v>396</v>
      </c>
      <c r="G64" s="22"/>
      <c r="H64" s="22"/>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32">
        <f>A96-A96</f>
        <v>0</v>
      </c>
      <c r="B65" s="17">
        <f>0.3048*38</f>
        <v>11.5824</v>
      </c>
      <c r="C65" s="19" t="s">
        <v>245</v>
      </c>
      <c r="D65" s="19" t="s">
        <v>241</v>
      </c>
      <c r="E65" s="39">
        <v>0.28125</v>
      </c>
      <c r="F65" s="39">
        <v>0.4166666666666667</v>
      </c>
      <c r="G65"/>
      <c r="H65" s="22"/>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34">
        <f>A96-A95</f>
        <v>64.03999999999999</v>
      </c>
      <c r="B66" s="17">
        <f>0.3048*40</f>
        <v>12.192</v>
      </c>
      <c r="C66" s="19" t="s">
        <v>244</v>
      </c>
      <c r="D66" s="19" t="s">
        <v>246</v>
      </c>
      <c r="E66" s="39">
        <v>0.3368055555555556</v>
      </c>
      <c r="F66" s="39">
        <v>0.46875</v>
      </c>
      <c r="G66"/>
      <c r="H66" s="22"/>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32">
        <f>A96-A94</f>
        <v>64.03999999999999</v>
      </c>
      <c r="B67" s="17">
        <f>B66</f>
        <v>12.192</v>
      </c>
      <c r="C67" t="str">
        <f>C66</f>
        <v>Girdwood</v>
      </c>
      <c r="D67" s="19" t="s">
        <v>241</v>
      </c>
      <c r="E67" s="39">
        <v>0.3402777777777778</v>
      </c>
      <c r="F67" s="39">
        <v>0.4722222222222222</v>
      </c>
      <c r="G67"/>
      <c r="H67" s="22"/>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s="32">
        <f>A96-A93</f>
        <v>80.60999999999999</v>
      </c>
      <c r="B68" s="17">
        <f>B69</f>
        <v>10.0584</v>
      </c>
      <c r="C68" s="19" t="s">
        <v>270</v>
      </c>
      <c r="D68" s="19" t="s">
        <v>246</v>
      </c>
      <c r="E68" s="60" t="s">
        <v>251</v>
      </c>
      <c r="F68" s="39">
        <v>0.4826388888888889</v>
      </c>
      <c r="G68"/>
      <c r="H68" s="22"/>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s="32">
        <f>A68</f>
        <v>80.60999999999999</v>
      </c>
      <c r="B69" s="17">
        <f>0.3048*33</f>
        <v>10.0584</v>
      </c>
      <c r="C69" s="19" t="s">
        <v>468</v>
      </c>
      <c r="D69" s="19" t="s">
        <v>241</v>
      </c>
      <c r="E69" s="60" t="s">
        <v>251</v>
      </c>
      <c r="F69" s="39">
        <v>0.4861111111111111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s="32">
        <f>(12*1.609)+A69</f>
        <v>99.91799999999998</v>
      </c>
      <c r="B70" s="17">
        <f>0.3048*21</f>
        <v>6.4008</v>
      </c>
      <c r="C70" s="19" t="s">
        <v>269</v>
      </c>
      <c r="D70" s="19" t="s">
        <v>246</v>
      </c>
      <c r="E70" s="60" t="s">
        <v>251</v>
      </c>
      <c r="F70" s="39">
        <v>0.5138888888888888</v>
      </c>
      <c r="G70"/>
      <c r="H70" s="22"/>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s="32">
        <v>0</v>
      </c>
      <c r="B71" s="17">
        <f>B70</f>
        <v>6.4008</v>
      </c>
      <c r="C71" s="19" t="s">
        <v>269</v>
      </c>
      <c r="D71" s="19" t="s">
        <v>241</v>
      </c>
      <c r="E71" s="60" t="s">
        <v>251</v>
      </c>
      <c r="F71" s="39">
        <v>0.5243055555555556</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s="32">
        <f>12*1.609</f>
        <v>19.308</v>
      </c>
      <c r="B72" s="17">
        <f>B73</f>
        <v>10.0584</v>
      </c>
      <c r="C72" s="19" t="s">
        <v>468</v>
      </c>
      <c r="D72" s="19" t="s">
        <v>246</v>
      </c>
      <c r="E72" s="60" t="s">
        <v>251</v>
      </c>
      <c r="F72" s="39">
        <v>0.5625</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s="32">
        <f>A96-A88</f>
        <v>80.60999999999999</v>
      </c>
      <c r="B73" s="17">
        <f>B69</f>
        <v>10.0584</v>
      </c>
      <c r="C73" s="19" t="s">
        <v>270</v>
      </c>
      <c r="D73" s="19" t="s">
        <v>241</v>
      </c>
      <c r="E73" s="60" t="s">
        <v>251</v>
      </c>
      <c r="F73" s="39">
        <v>0.5659722222222222</v>
      </c>
      <c r="G73"/>
      <c r="H73" s="22"/>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s="32">
        <f>A96-A87</f>
        <v>94.11999999999999</v>
      </c>
      <c r="B74" s="17">
        <f>B75</f>
        <v>38.829</v>
      </c>
      <c r="C74" s="17" t="str">
        <f>C75</f>
        <v>Spencer</v>
      </c>
      <c r="D74" s="19" t="s">
        <v>246</v>
      </c>
      <c r="E74" s="60" t="s">
        <v>251</v>
      </c>
      <c r="F74" s="39">
        <v>0.5729166666666666</v>
      </c>
      <c r="G74"/>
      <c r="H74" s="22"/>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s="32">
        <f>A96-A86</f>
        <v>94.11999999999999</v>
      </c>
      <c r="B75" s="78">
        <v>38.829</v>
      </c>
      <c r="C75" s="19" t="s">
        <v>455</v>
      </c>
      <c r="D75" s="19" t="s">
        <v>241</v>
      </c>
      <c r="E75" s="60" t="s">
        <v>251</v>
      </c>
      <c r="F75" s="39">
        <v>0.5798611111111112</v>
      </c>
      <c r="G75"/>
      <c r="H75" s="22"/>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s="32">
        <f>A96-A85</f>
        <v>110.64999999999999</v>
      </c>
      <c r="B76" s="17">
        <f>0.3048*1063</f>
        <v>324.0024</v>
      </c>
      <c r="C76" s="19" t="s">
        <v>456</v>
      </c>
      <c r="D76" s="19" t="s">
        <v>246</v>
      </c>
      <c r="E76" s="60" t="s">
        <v>251</v>
      </c>
      <c r="F76" s="39">
        <v>0.6284722222222222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s="32">
        <f>A96-A84</f>
        <v>178.23</v>
      </c>
      <c r="B77" s="17">
        <f>0.3048*20</f>
        <v>6.096</v>
      </c>
      <c r="C77" s="19" t="s">
        <v>219</v>
      </c>
      <c r="D77" s="19" t="s">
        <v>246</v>
      </c>
      <c r="E77" s="39">
        <v>0.4618055555555556</v>
      </c>
      <c r="F77" s="22"/>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C78" s="19" t="s">
        <v>457</v>
      </c>
      <c r="D78" s="19"/>
      <c r="E78" s="22"/>
      <c r="F78" s="22"/>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C79" s="19" t="s">
        <v>458</v>
      </c>
      <c r="D79" s="19"/>
      <c r="E79" s="22"/>
      <c r="F79" s="22"/>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C80" s="19"/>
      <c r="D80" s="19"/>
      <c r="E80" s="22"/>
      <c r="F80" s="22"/>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s="50" t="s">
        <v>2</v>
      </c>
      <c r="B81" s="36" t="s">
        <v>222</v>
      </c>
      <c r="C81" s="42" t="s">
        <v>223</v>
      </c>
      <c r="D81" s="19"/>
      <c r="E81" s="22" t="s">
        <v>85</v>
      </c>
      <c r="F81" s="22" t="s">
        <v>80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s="22" t="s">
        <v>139</v>
      </c>
      <c r="F82" s="22" t="s">
        <v>136</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3:255" ht="12.75">
      <c r="C83" s="19"/>
      <c r="D83" s="19"/>
      <c r="E83" s="23" t="s">
        <v>396</v>
      </c>
      <c r="F83" s="23" t="s">
        <v>443</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v>0</v>
      </c>
      <c r="B84" s="44">
        <f>B77</f>
        <v>6.096</v>
      </c>
      <c r="C84" s="19" t="s">
        <v>219</v>
      </c>
      <c r="D84" s="19" t="s">
        <v>241</v>
      </c>
      <c r="E84" s="22"/>
      <c r="F84" s="39">
        <v>0.75</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s="18">
        <v>67.58</v>
      </c>
      <c r="B85" s="32">
        <f>B76</f>
        <v>324.0024</v>
      </c>
      <c r="C85" s="19" t="s">
        <v>456</v>
      </c>
      <c r="D85"/>
      <c r="E85" s="39">
        <v>0.6388888888888888</v>
      </c>
      <c r="F85" s="60" t="s">
        <v>251</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s="18">
        <v>84.11</v>
      </c>
      <c r="B86" s="17">
        <f>B87</f>
        <v>38.829</v>
      </c>
      <c r="C86" s="17" t="str">
        <f>C87</f>
        <v>Spencer</v>
      </c>
      <c r="D86" s="19" t="s">
        <v>246</v>
      </c>
      <c r="E86" s="39">
        <v>0.6875</v>
      </c>
      <c r="F86" s="60" t="s">
        <v>251</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s="18">
        <v>84.11</v>
      </c>
      <c r="B87" s="79">
        <f>B75</f>
        <v>38.829</v>
      </c>
      <c r="C87" s="19" t="s">
        <v>455</v>
      </c>
      <c r="D87" s="19" t="s">
        <v>241</v>
      </c>
      <c r="E87" s="39">
        <v>0.6944444444444444</v>
      </c>
      <c r="F87" s="60" t="s">
        <v>251</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s="18">
        <v>97.62</v>
      </c>
      <c r="B88" s="51">
        <f>B73</f>
        <v>10.0584</v>
      </c>
      <c r="C88" s="19" t="s">
        <v>270</v>
      </c>
      <c r="D88" s="19" t="s">
        <v>246</v>
      </c>
      <c r="E88" s="39">
        <v>0.71875</v>
      </c>
      <c r="F88" s="60" t="s">
        <v>251</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s="18">
        <v>97.62</v>
      </c>
      <c r="B89" s="17">
        <f>B88</f>
        <v>10.0584</v>
      </c>
      <c r="C89" s="19" t="s">
        <v>468</v>
      </c>
      <c r="D89" s="19" t="s">
        <v>241</v>
      </c>
      <c r="E89" s="39">
        <v>0.7222222222222222</v>
      </c>
      <c r="F89" s="60" t="s">
        <v>251</v>
      </c>
      <c r="G89"/>
      <c r="H89"/>
      <c r="I89"/>
      <c r="J89"/>
      <c r="K89" s="39"/>
      <c r="L89" s="3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v>117</v>
      </c>
      <c r="B90" s="17">
        <f>B70</f>
        <v>6.4008</v>
      </c>
      <c r="C90" s="19" t="s">
        <v>269</v>
      </c>
      <c r="D90" s="19" t="s">
        <v>246</v>
      </c>
      <c r="E90" s="39">
        <v>0.78125</v>
      </c>
      <c r="F90" s="60" t="s">
        <v>251</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v>0</v>
      </c>
      <c r="B91" s="17">
        <f>B71</f>
        <v>6.4008</v>
      </c>
      <c r="C91" s="19" t="s">
        <v>269</v>
      </c>
      <c r="D91" s="19" t="s">
        <v>241</v>
      </c>
      <c r="E91" s="39">
        <v>0.7881944444444444</v>
      </c>
      <c r="F91" s="60" t="s">
        <v>251</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s="18">
        <f>A72</f>
        <v>19.308</v>
      </c>
      <c r="B92" s="17">
        <f>B93</f>
        <v>10.0584</v>
      </c>
      <c r="C92" s="19" t="s">
        <v>468</v>
      </c>
      <c r="D92" s="19" t="s">
        <v>246</v>
      </c>
      <c r="E92" s="39">
        <v>0.8020833333333334</v>
      </c>
      <c r="F92" s="60" t="s">
        <v>251</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s="18">
        <v>97.62</v>
      </c>
      <c r="B93" s="17">
        <f>B69</f>
        <v>10.0584</v>
      </c>
      <c r="C93" s="19" t="s">
        <v>270</v>
      </c>
      <c r="D93" s="19" t="s">
        <v>241</v>
      </c>
      <c r="E93" s="39">
        <v>0.8055555555555556</v>
      </c>
      <c r="F93" s="60" t="s">
        <v>251</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s="18">
        <v>114.19</v>
      </c>
      <c r="B94" s="17">
        <f>B66</f>
        <v>12.192</v>
      </c>
      <c r="C94" s="19" t="s">
        <v>244</v>
      </c>
      <c r="D94" s="19" t="s">
        <v>246</v>
      </c>
      <c r="E94" s="39">
        <v>0.8159722222222222</v>
      </c>
      <c r="F94" s="39">
        <v>0.8715277777777778</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s="18">
        <v>114.19</v>
      </c>
      <c r="B95" s="17">
        <f>B94</f>
        <v>12.192</v>
      </c>
      <c r="C95" s="17" t="str">
        <f>C94</f>
        <v>Girdwood</v>
      </c>
      <c r="D95" s="19" t="s">
        <v>241</v>
      </c>
      <c r="E95" s="39">
        <v>0.8194444444444444</v>
      </c>
      <c r="F95" s="39">
        <v>0.875</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s="18">
        <v>178.23</v>
      </c>
      <c r="B96" s="17">
        <f>B65</f>
        <v>11.5824</v>
      </c>
      <c r="C96" s="19" t="s">
        <v>245</v>
      </c>
      <c r="D96" s="19" t="s">
        <v>246</v>
      </c>
      <c r="E96" s="39">
        <v>0.8854166666666666</v>
      </c>
      <c r="F96" s="39">
        <v>0.9270833333333334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C97" s="19" t="s">
        <v>457</v>
      </c>
      <c r="D97" s="19"/>
      <c r="E97"/>
      <c r="F97"/>
      <c r="G97"/>
      <c r="H97" s="22"/>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3:255" ht="12.75">
      <c r="C98" s="19" t="s">
        <v>458</v>
      </c>
      <c r="D98" s="19"/>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ht="12.75">
      <c r="A10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7.xml><?xml version="1.0" encoding="utf-8"?>
<worksheet xmlns="http://schemas.openxmlformats.org/spreadsheetml/2006/main" xmlns:r="http://schemas.openxmlformats.org/officeDocument/2006/relationships">
  <dimension ref="A1:IU100"/>
  <sheetViews>
    <sheetView zoomScale="80" zoomScaleNormal="80" workbookViewId="0" topLeftCell="A1">
      <selection activeCell="A1" sqref="A1"/>
    </sheetView>
  </sheetViews>
  <sheetFormatPr defaultColWidth="12.57421875" defaultRowHeight="12.75"/>
  <cols>
    <col min="1" max="1" width="4.8515625" style="16" customWidth="1"/>
    <col min="2" max="2" width="6.421875" style="16" customWidth="1"/>
    <col min="3" max="3" width="17.00390625" style="16" customWidth="1"/>
    <col min="4" max="4" width="2.140625" style="16" customWidth="1"/>
    <col min="5" max="255" width="11.57421875" style="16" customWidth="1"/>
    <col min="256" max="16384" width="11.57421875" style="0" customWidth="1"/>
  </cols>
  <sheetData>
    <row r="1" spans="1:255" ht="12.75">
      <c r="A1" s="3">
        <v>2009</v>
      </c>
      <c r="B1" s="3"/>
      <c r="C1" s="3" t="s">
        <v>34</v>
      </c>
      <c r="D1" s="19"/>
      <c r="E1" s="22">
        <v>2</v>
      </c>
      <c r="F1" s="22">
        <v>4</v>
      </c>
      <c r="G1"/>
      <c r="H1">
        <v>10</v>
      </c>
      <c r="I1">
        <v>10</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12.75">
      <c r="A2" s="16" t="s">
        <v>2</v>
      </c>
      <c r="B2" s="36" t="s">
        <v>222</v>
      </c>
      <c r="C2" s="42" t="s">
        <v>223</v>
      </c>
      <c r="D2" s="19"/>
      <c r="E2" s="22" t="s">
        <v>83</v>
      </c>
      <c r="F2" s="22" t="s">
        <v>88</v>
      </c>
      <c r="G2"/>
      <c r="H2" s="22" t="s">
        <v>442</v>
      </c>
      <c r="I2" s="22" t="s">
        <v>88</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12.75">
      <c r="B3"/>
      <c r="C3" s="19"/>
      <c r="D3" s="19"/>
      <c r="E3" t="s">
        <v>145</v>
      </c>
      <c r="F3" t="s">
        <v>147</v>
      </c>
      <c r="G3"/>
      <c r="H3" s="23" t="s">
        <v>149</v>
      </c>
      <c r="I3" s="11" t="s">
        <v>151</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2:255" ht="12.75">
      <c r="B4"/>
      <c r="C4" s="19"/>
      <c r="D4" s="19"/>
      <c r="E4" s="23" t="s">
        <v>443</v>
      </c>
      <c r="F4" s="23" t="s">
        <v>148</v>
      </c>
      <c r="G4"/>
      <c r="H4" s="50" t="s">
        <v>396</v>
      </c>
      <c r="I4" s="23" t="s">
        <v>148</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12.75">
      <c r="A5" s="32">
        <v>0</v>
      </c>
      <c r="B5" s="17">
        <f>0.3048*38</f>
        <v>11.5824</v>
      </c>
      <c r="C5" s="19" t="s">
        <v>245</v>
      </c>
      <c r="D5" s="19" t="s">
        <v>241</v>
      </c>
      <c r="E5" s="39">
        <v>0.34375</v>
      </c>
      <c r="F5" s="22"/>
      <c r="G5"/>
      <c r="H5" s="37">
        <v>0.3541666666666667</v>
      </c>
      <c r="I5" s="37">
        <v>0.3541666666666667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75">
      <c r="A6" s="32">
        <f>A7</f>
        <v>73.2095</v>
      </c>
      <c r="B6" s="17">
        <f>B7</f>
        <v>103.3272</v>
      </c>
      <c r="C6" t="str">
        <f>C7</f>
        <v>Wasilla</v>
      </c>
      <c r="D6" s="19" t="s">
        <v>246</v>
      </c>
      <c r="E6" s="39">
        <v>0.3993055555555556</v>
      </c>
      <c r="F6" s="22"/>
      <c r="G6"/>
      <c r="H6" s="80">
        <f>H7</f>
        <v>0.4166666666666667</v>
      </c>
      <c r="I6" s="80">
        <f>I7</f>
        <v>0.4166666666666667</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2.75">
      <c r="A7" s="32">
        <v>73.2095</v>
      </c>
      <c r="B7" s="17">
        <f>0.3048*339</f>
        <v>103.3272</v>
      </c>
      <c r="C7" s="19" t="s">
        <v>248</v>
      </c>
      <c r="D7" s="19" t="s">
        <v>241</v>
      </c>
      <c r="E7" s="39">
        <v>0.4027777777777778</v>
      </c>
      <c r="F7" s="22"/>
      <c r="G7"/>
      <c r="H7" s="80">
        <v>0.4166666666666667</v>
      </c>
      <c r="I7" s="80">
        <v>0.4166666666666667</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2.75">
      <c r="A8" s="32">
        <f>A9</f>
        <v>180.8516</v>
      </c>
      <c r="B8" s="17">
        <f>B9</f>
        <v>107.89920000000001</v>
      </c>
      <c r="C8" t="str">
        <f>C9</f>
        <v>Talkeetna</v>
      </c>
      <c r="D8" s="19" t="s">
        <v>246</v>
      </c>
      <c r="E8" s="39">
        <v>0.4618055555555556</v>
      </c>
      <c r="F8" s="22"/>
      <c r="G8"/>
      <c r="H8" s="80">
        <f>H9</f>
        <v>0.4861111111111111</v>
      </c>
      <c r="I8" s="80">
        <f>I9</f>
        <v>0.4861111111111111</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2.75">
      <c r="A9" s="32">
        <v>180.8516</v>
      </c>
      <c r="B9" s="17">
        <f>0.3048*354</f>
        <v>107.89920000000001</v>
      </c>
      <c r="C9" s="19" t="s">
        <v>249</v>
      </c>
      <c r="D9" s="19" t="s">
        <v>241</v>
      </c>
      <c r="E9" s="39">
        <v>0.4756944444444444</v>
      </c>
      <c r="F9" s="39">
        <v>0.5104166666666666</v>
      </c>
      <c r="G9"/>
      <c r="H9" s="80">
        <v>0.4861111111111111</v>
      </c>
      <c r="I9" s="80">
        <v>0.4861111111111111</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2.75">
      <c r="A10" s="32">
        <v>196.1371</v>
      </c>
      <c r="B10" s="17">
        <f>0.3048*461</f>
        <v>140.5128</v>
      </c>
      <c r="C10" s="19" t="s">
        <v>309</v>
      </c>
      <c r="D10" s="47" t="s">
        <v>286</v>
      </c>
      <c r="E10" s="60" t="s">
        <v>251</v>
      </c>
      <c r="F10" s="39">
        <v>0.51875</v>
      </c>
      <c r="G10"/>
      <c r="H10" s="80">
        <v>0.49444444444444446</v>
      </c>
      <c r="I10" s="80">
        <v>0.49444444444444446</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2.75">
      <c r="A11" s="32">
        <v>215.9278</v>
      </c>
      <c r="B11" s="17">
        <f>0.3048*546</f>
        <v>166.4208</v>
      </c>
      <c r="C11" s="19" t="s">
        <v>250</v>
      </c>
      <c r="D11" s="47" t="s">
        <v>286</v>
      </c>
      <c r="E11" s="60" t="s">
        <v>251</v>
      </c>
      <c r="F11" s="39">
        <v>0.5347222222222222</v>
      </c>
      <c r="G11"/>
      <c r="H11" s="80">
        <v>0.5083333333333333</v>
      </c>
      <c r="I11" s="80">
        <v>0.5083333333333333</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2.75">
      <c r="A12" s="32">
        <v>230.7306</v>
      </c>
      <c r="B12" s="17">
        <f>0.3048*621</f>
        <v>189.2808</v>
      </c>
      <c r="C12" s="19" t="s">
        <v>310</v>
      </c>
      <c r="D12" s="47" t="s">
        <v>286</v>
      </c>
      <c r="E12" s="60" t="s">
        <v>251</v>
      </c>
      <c r="F12" s="39">
        <v>0.5451388888888888</v>
      </c>
      <c r="G12"/>
      <c r="H12" s="80">
        <v>0.51875</v>
      </c>
      <c r="I12" s="80">
        <v>0.51875</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2.75">
      <c r="A13" s="32">
        <v>239.5801</v>
      </c>
      <c r="B13" s="17">
        <f>0.3048*731</f>
        <v>222.80880000000002</v>
      </c>
      <c r="C13" s="19" t="s">
        <v>311</v>
      </c>
      <c r="D13" s="47" t="s">
        <v>286</v>
      </c>
      <c r="E13" s="60" t="s">
        <v>251</v>
      </c>
      <c r="F13" s="39">
        <v>0.5555555555555556</v>
      </c>
      <c r="G13"/>
      <c r="H13" s="80">
        <v>0.5298611111111111</v>
      </c>
      <c r="I13" s="80">
        <v>0.5298611111111111</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2.75">
      <c r="A14" s="32">
        <v>247.9469</v>
      </c>
      <c r="B14" s="17">
        <f>0.3048*879</f>
        <v>267.9192</v>
      </c>
      <c r="C14" s="19" t="s">
        <v>312</v>
      </c>
      <c r="D14" s="47" t="s">
        <v>286</v>
      </c>
      <c r="E14" s="60" t="s">
        <v>251</v>
      </c>
      <c r="F14" s="39">
        <v>0.5659722222222222</v>
      </c>
      <c r="G14"/>
      <c r="H14" s="80">
        <v>0.5465277777777777</v>
      </c>
      <c r="I14" s="80">
        <v>0.5465277777777777</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2.75">
      <c r="A15" s="32">
        <v>256.6355</v>
      </c>
      <c r="B15" s="17">
        <f>0.3048*1280</f>
        <v>390.144</v>
      </c>
      <c r="C15" s="19" t="s">
        <v>313</v>
      </c>
      <c r="D15" s="47" t="s">
        <v>286</v>
      </c>
      <c r="E15" s="60" t="s">
        <v>251</v>
      </c>
      <c r="F15" s="39">
        <v>0.5763888888888888</v>
      </c>
      <c r="G15"/>
      <c r="H15" s="80">
        <v>0.5548611111111111</v>
      </c>
      <c r="I15" s="80">
        <v>0.5548611111111111</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2.75">
      <c r="A16" s="32">
        <v>268.8639</v>
      </c>
      <c r="B16" s="17">
        <f>0.3048*1688</f>
        <v>514.5024000000001</v>
      </c>
      <c r="C16" s="19" t="s">
        <v>252</v>
      </c>
      <c r="D16" s="47" t="s">
        <v>286</v>
      </c>
      <c r="E16" s="60" t="s">
        <v>251</v>
      </c>
      <c r="F16" s="39">
        <v>0.59375</v>
      </c>
      <c r="G16"/>
      <c r="H16" s="80">
        <v>0.5659722222222222</v>
      </c>
      <c r="I16" s="80">
        <v>0.5659722222222222</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2.75">
      <c r="A17" s="32">
        <f>A18</f>
        <v>375.5406</v>
      </c>
      <c r="B17" s="17">
        <f>B18</f>
        <v>527.9136</v>
      </c>
      <c r="C17" t="str">
        <f>C18</f>
        <v>Denali</v>
      </c>
      <c r="D17" s="19" t="s">
        <v>246</v>
      </c>
      <c r="E17" s="39">
        <v>0.65625</v>
      </c>
      <c r="F17" s="22"/>
      <c r="G17"/>
      <c r="H17" s="85" t="str">
        <f>H18</f>
        <v>X 15:45</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2.75">
      <c r="A18" s="32">
        <v>375.5406</v>
      </c>
      <c r="B18" s="17">
        <f>0.3048*1732</f>
        <v>527.9136</v>
      </c>
      <c r="C18" s="19" t="s">
        <v>444</v>
      </c>
      <c r="D18" s="19" t="s">
        <v>241</v>
      </c>
      <c r="E18" s="39">
        <v>0.6736111111111112</v>
      </c>
      <c r="F18" s="22"/>
      <c r="G18"/>
      <c r="H18" s="70" t="s">
        <v>459</v>
      </c>
      <c r="I18" s="58"/>
      <c r="J18"/>
      <c r="K18" s="3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2.75">
      <c r="A19" s="32">
        <v>393.2396</v>
      </c>
      <c r="B19" s="17">
        <f>0.3048*1368</f>
        <v>416.9664</v>
      </c>
      <c r="C19" s="19" t="s">
        <v>256</v>
      </c>
      <c r="D19" s="47" t="s">
        <v>286</v>
      </c>
      <c r="E19" s="60" t="s">
        <v>251</v>
      </c>
      <c r="F19" s="22"/>
      <c r="G19"/>
      <c r="H19" s="80">
        <v>0.6875</v>
      </c>
      <c r="I19" s="58"/>
      <c r="J19"/>
      <c r="K19" s="3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 r="A20" s="32">
        <v>478.5166</v>
      </c>
      <c r="B20" s="17">
        <f>0.3048*362</f>
        <v>110.33760000000001</v>
      </c>
      <c r="C20" s="19" t="s">
        <v>257</v>
      </c>
      <c r="D20" s="47" t="s">
        <v>286</v>
      </c>
      <c r="E20" s="60" t="s">
        <v>251</v>
      </c>
      <c r="F20" s="22"/>
      <c r="G20"/>
      <c r="H20" s="80">
        <v>0.7381944444444445</v>
      </c>
      <c r="I20" s="58"/>
      <c r="J20"/>
      <c r="K20" s="36"/>
      <c r="L20"/>
      <c r="M20"/>
      <c r="N20" s="39"/>
      <c r="O20" s="58"/>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 r="A21" s="32">
        <v>572.804</v>
      </c>
      <c r="B21" s="17">
        <f>0.3048*448</f>
        <v>136.5504</v>
      </c>
      <c r="C21" s="19" t="s">
        <v>258</v>
      </c>
      <c r="D21" s="19" t="s">
        <v>246</v>
      </c>
      <c r="E21" s="39">
        <v>0.8333333333333334</v>
      </c>
      <c r="F21" s="22"/>
      <c r="G21"/>
      <c r="H21" s="37">
        <v>0.8229166666666666</v>
      </c>
      <c r="I21"/>
      <c r="J21"/>
      <c r="K21" s="39"/>
      <c r="L21"/>
      <c r="M21"/>
      <c r="N21" s="39"/>
      <c r="O21" s="58"/>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2:255" ht="12.75">
      <c r="B22"/>
      <c r="C22" s="19" t="s">
        <v>460</v>
      </c>
      <c r="D22" s="19"/>
      <c r="E22" s="22"/>
      <c r="F22" s="22"/>
      <c r="G22"/>
      <c r="H22"/>
      <c r="I22"/>
      <c r="J22"/>
      <c r="K22" s="1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2:255" ht="12.75">
      <c r="B23"/>
      <c r="C23" s="19" t="s">
        <v>290</v>
      </c>
      <c r="D23" s="19"/>
      <c r="E23" s="22"/>
      <c r="F23" s="22"/>
      <c r="G23"/>
      <c r="H23"/>
      <c r="I23"/>
      <c r="J23"/>
      <c r="K23" s="19"/>
      <c r="L23"/>
      <c r="M23"/>
      <c r="N23" s="19"/>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2:255" ht="12.75">
      <c r="B24"/>
      <c r="C24"/>
      <c r="D24" s="19"/>
      <c r="E24" s="22"/>
      <c r="F24" s="22"/>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 r="A25"/>
      <c r="B25"/>
      <c r="C25"/>
      <c r="D25"/>
      <c r="E25" s="22">
        <v>1</v>
      </c>
      <c r="F25" s="22">
        <v>3</v>
      </c>
      <c r="G25"/>
      <c r="H25">
        <v>9</v>
      </c>
      <c r="I25">
        <v>9</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16" t="s">
        <v>2</v>
      </c>
      <c r="B26" s="36" t="s">
        <v>222</v>
      </c>
      <c r="C26" s="42" t="s">
        <v>237</v>
      </c>
      <c r="D26" s="19"/>
      <c r="E26" s="22" t="s">
        <v>83</v>
      </c>
      <c r="F26" s="22" t="s">
        <v>88</v>
      </c>
      <c r="G26"/>
      <c r="H26" s="22" t="s">
        <v>442</v>
      </c>
      <c r="I26" s="22" t="s">
        <v>88</v>
      </c>
      <c r="J26"/>
      <c r="K26" s="36"/>
      <c r="L26"/>
      <c r="M26"/>
      <c r="N26" s="15"/>
      <c r="O26" s="57"/>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2:255" ht="12.75">
      <c r="B27"/>
      <c r="C27" s="19"/>
      <c r="D27" s="19"/>
      <c r="E27" t="s">
        <v>146</v>
      </c>
      <c r="F27" t="s">
        <v>147</v>
      </c>
      <c r="G27"/>
      <c r="H27" s="23" t="s">
        <v>150</v>
      </c>
      <c r="I27" s="11" t="s">
        <v>151</v>
      </c>
      <c r="J27"/>
      <c r="K27" s="23"/>
      <c r="L27"/>
      <c r="M27"/>
      <c r="N27" s="43"/>
      <c r="O27" s="15"/>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2:255" ht="12.75">
      <c r="B28"/>
      <c r="C28" s="19"/>
      <c r="D28" s="19"/>
      <c r="E28" s="23" t="s">
        <v>443</v>
      </c>
      <c r="F28" s="23" t="s">
        <v>148</v>
      </c>
      <c r="G28"/>
      <c r="H28" s="50" t="s">
        <v>396</v>
      </c>
      <c r="I28" s="23" t="s">
        <v>148</v>
      </c>
      <c r="J28"/>
      <c r="K28" s="43"/>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 r="A29" s="32">
        <f>A21-A21</f>
        <v>0</v>
      </c>
      <c r="B29" s="17">
        <f>B21-B21</f>
        <v>0</v>
      </c>
      <c r="C29" s="19" t="s">
        <v>258</v>
      </c>
      <c r="D29" s="19" t="s">
        <v>241</v>
      </c>
      <c r="E29" s="39">
        <v>0.34375</v>
      </c>
      <c r="F29" s="22"/>
      <c r="G29"/>
      <c r="H29" s="37">
        <v>0.3541666666666667</v>
      </c>
      <c r="I29"/>
      <c r="J29"/>
      <c r="K29" s="39"/>
      <c r="L29"/>
      <c r="M29"/>
      <c r="N29" s="39"/>
      <c r="O29" s="58"/>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2.75">
      <c r="A30" s="32">
        <f>A21-A20</f>
        <v>94.28739999999999</v>
      </c>
      <c r="B30" s="17">
        <f>B20</f>
        <v>110.33760000000001</v>
      </c>
      <c r="C30" s="19" t="s">
        <v>257</v>
      </c>
      <c r="D30" s="47" t="s">
        <v>286</v>
      </c>
      <c r="E30" s="60" t="s">
        <v>251</v>
      </c>
      <c r="F30" s="22"/>
      <c r="G30"/>
      <c r="H30" s="80">
        <v>0.4270833333333333</v>
      </c>
      <c r="I30" s="58"/>
      <c r="J30"/>
      <c r="K30" s="36"/>
      <c r="L30"/>
      <c r="M30"/>
      <c r="N30" s="39"/>
      <c r="O30" s="5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2.75">
      <c r="A31" s="32">
        <f>A21-A19</f>
        <v>179.56439999999998</v>
      </c>
      <c r="B31" s="17">
        <f>B19</f>
        <v>416.9664</v>
      </c>
      <c r="C31" s="19" t="s">
        <v>256</v>
      </c>
      <c r="D31" s="47" t="s">
        <v>286</v>
      </c>
      <c r="E31" s="60" t="s">
        <v>251</v>
      </c>
      <c r="F31" s="22"/>
      <c r="G31"/>
      <c r="H31" s="80">
        <v>0.4791666666666667</v>
      </c>
      <c r="I31" s="58"/>
      <c r="J31"/>
      <c r="K31" s="36"/>
      <c r="L31"/>
      <c r="M31"/>
      <c r="N31" s="39"/>
      <c r="O31" s="58"/>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2.75">
      <c r="A32" s="32">
        <f>A33</f>
        <v>197.2634</v>
      </c>
      <c r="B32" s="17">
        <f>B33</f>
        <v>527.9136</v>
      </c>
      <c r="C32" t="str">
        <f>C33</f>
        <v>Denali</v>
      </c>
      <c r="D32" s="19" t="s">
        <v>246</v>
      </c>
      <c r="E32" s="39">
        <v>0.5104166666666666</v>
      </c>
      <c r="F32" s="22"/>
      <c r="G32"/>
      <c r="H32" s="85" t="str">
        <f>H33</f>
        <v>X 12:15</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12.75">
      <c r="A33" s="32">
        <f>A21-A18</f>
        <v>197.2634</v>
      </c>
      <c r="B33" s="17">
        <f>B18</f>
        <v>527.9136</v>
      </c>
      <c r="C33" s="19" t="s">
        <v>444</v>
      </c>
      <c r="D33" s="19" t="s">
        <v>241</v>
      </c>
      <c r="E33" s="39">
        <v>0.5277777777777778</v>
      </c>
      <c r="F33" s="22"/>
      <c r="G33"/>
      <c r="H33" s="70" t="s">
        <v>430</v>
      </c>
      <c r="I33" s="58"/>
      <c r="J33"/>
      <c r="K33" s="39"/>
      <c r="L33"/>
      <c r="M33"/>
      <c r="N33"/>
      <c r="O33" s="58"/>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2.75">
      <c r="A34" s="32">
        <f>A21-A16</f>
        <v>303.9401</v>
      </c>
      <c r="B34" s="17">
        <f>B16</f>
        <v>514.5024000000001</v>
      </c>
      <c r="C34" s="19" t="s">
        <v>252</v>
      </c>
      <c r="D34" s="47" t="s">
        <v>286</v>
      </c>
      <c r="E34" s="60" t="s">
        <v>251</v>
      </c>
      <c r="F34" s="39">
        <v>0.6458333333333334</v>
      </c>
      <c r="G34"/>
      <c r="H34" s="80">
        <v>0.5993055555555555</v>
      </c>
      <c r="I34" s="80">
        <v>0.5798611111111112</v>
      </c>
      <c r="J34"/>
      <c r="K34"/>
      <c r="L34"/>
      <c r="M34"/>
      <c r="N34" s="39"/>
      <c r="O34" s="39"/>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2.75">
      <c r="A35" s="32">
        <f>A21-A15</f>
        <v>316.1685</v>
      </c>
      <c r="B35" s="17">
        <f>B15</f>
        <v>390.144</v>
      </c>
      <c r="C35" s="19" t="s">
        <v>313</v>
      </c>
      <c r="D35" s="47" t="s">
        <v>286</v>
      </c>
      <c r="E35" s="60" t="s">
        <v>251</v>
      </c>
      <c r="F35" s="39">
        <v>0.6631944444444444</v>
      </c>
      <c r="G35"/>
      <c r="H35" s="80">
        <v>0.6173611111111111</v>
      </c>
      <c r="I35" s="80">
        <v>0.5923611111111111</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2.75">
      <c r="A36" s="32">
        <f>A21-A14</f>
        <v>324.85709999999995</v>
      </c>
      <c r="B36" s="17">
        <f>B14</f>
        <v>267.9192</v>
      </c>
      <c r="C36" s="19" t="s">
        <v>312</v>
      </c>
      <c r="D36" s="47" t="s">
        <v>286</v>
      </c>
      <c r="E36" s="60" t="s">
        <v>251</v>
      </c>
      <c r="F36" s="39">
        <v>0.6736111111111112</v>
      </c>
      <c r="G36"/>
      <c r="H36" s="80">
        <v>0.61875</v>
      </c>
      <c r="I36" s="80">
        <v>0.6006944444444444</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2.75">
      <c r="A37" s="32">
        <f>A21-A13</f>
        <v>333.22389999999996</v>
      </c>
      <c r="B37" s="17">
        <f>B13</f>
        <v>222.80880000000002</v>
      </c>
      <c r="C37" s="19" t="s">
        <v>311</v>
      </c>
      <c r="D37" s="47" t="s">
        <v>286</v>
      </c>
      <c r="E37" s="60" t="s">
        <v>251</v>
      </c>
      <c r="F37" s="39">
        <v>0.6805555555555556</v>
      </c>
      <c r="G37"/>
      <c r="H37" s="80">
        <v>0.6395833333333333</v>
      </c>
      <c r="I37" s="80">
        <v>0.6083333333333333</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12.75">
      <c r="A38" s="32">
        <f>A21-A12</f>
        <v>342.0734</v>
      </c>
      <c r="B38" s="17">
        <f>B12</f>
        <v>189.2808</v>
      </c>
      <c r="C38" s="19" t="s">
        <v>310</v>
      </c>
      <c r="D38" s="47" t="s">
        <v>286</v>
      </c>
      <c r="E38" s="60" t="s">
        <v>251</v>
      </c>
      <c r="F38" s="39">
        <v>0.6979166666666666</v>
      </c>
      <c r="G38"/>
      <c r="H38" s="80">
        <v>0.6465277777777778</v>
      </c>
      <c r="I38" s="80">
        <v>0.6166666666666667</v>
      </c>
      <c r="J38"/>
      <c r="K38"/>
      <c r="L38"/>
      <c r="M38"/>
      <c r="N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12.75">
      <c r="A39" s="32">
        <f>A21-A11</f>
        <v>356.8762</v>
      </c>
      <c r="B39" s="17">
        <f>B11</f>
        <v>166.4208</v>
      </c>
      <c r="C39" s="19" t="s">
        <v>250</v>
      </c>
      <c r="D39" s="47" t="s">
        <v>286</v>
      </c>
      <c r="E39" s="60" t="s">
        <v>251</v>
      </c>
      <c r="F39" s="39">
        <v>0.7083333333333334</v>
      </c>
      <c r="G39"/>
      <c r="H39" s="80">
        <v>0.6569444444444444</v>
      </c>
      <c r="I39" s="80">
        <v>0.6284722222222222</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12.75">
      <c r="A40" s="32">
        <f>A21-A10</f>
        <v>376.66689999999994</v>
      </c>
      <c r="B40" s="17">
        <f>B10</f>
        <v>140.5128</v>
      </c>
      <c r="C40" s="19" t="s">
        <v>309</v>
      </c>
      <c r="D40" s="47" t="s">
        <v>286</v>
      </c>
      <c r="E40" s="60" t="s">
        <v>251</v>
      </c>
      <c r="F40" s="39">
        <v>0.7243055555555555</v>
      </c>
      <c r="G40"/>
      <c r="H40" s="80">
        <v>0.6708333333333333</v>
      </c>
      <c r="I40" s="80">
        <v>0.6451388888888889</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12.75">
      <c r="A41" s="32">
        <f>A42</f>
        <v>391.9524</v>
      </c>
      <c r="B41" s="17">
        <f>B42</f>
        <v>107.89920000000001</v>
      </c>
      <c r="C41" t="str">
        <f>C42</f>
        <v>Talkeetna</v>
      </c>
      <c r="D41" s="19" t="s">
        <v>246</v>
      </c>
      <c r="E41" s="39">
        <v>0.6944444444444444</v>
      </c>
      <c r="F41" s="39">
        <v>0.7395833333333334</v>
      </c>
      <c r="G41"/>
      <c r="H41" s="80">
        <f>H42</f>
        <v>0.6875</v>
      </c>
      <c r="I41" s="80">
        <v>0.6527777777777778</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12.75">
      <c r="A42" s="32">
        <f>A21-A9</f>
        <v>391.9524</v>
      </c>
      <c r="B42" s="17">
        <f>B9</f>
        <v>107.89920000000001</v>
      </c>
      <c r="C42" s="19" t="s">
        <v>249</v>
      </c>
      <c r="D42" s="19" t="s">
        <v>241</v>
      </c>
      <c r="E42" s="39">
        <v>0.7048611111111112</v>
      </c>
      <c r="F42" s="22"/>
      <c r="G42"/>
      <c r="H42" s="80">
        <v>0.6875</v>
      </c>
      <c r="I42" s="80">
        <v>0.6527777777777778</v>
      </c>
      <c r="J42"/>
      <c r="K42" s="39"/>
      <c r="L42" s="39"/>
      <c r="M42"/>
      <c r="N42" s="39"/>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12.75">
      <c r="A43" s="32">
        <f>A44</f>
        <v>499.5945</v>
      </c>
      <c r="B43" s="17">
        <f>B44</f>
        <v>103.3272</v>
      </c>
      <c r="C43" t="str">
        <f>C44</f>
        <v>Wasilla</v>
      </c>
      <c r="D43" s="19" t="s">
        <v>246</v>
      </c>
      <c r="E43" s="39">
        <v>0.7604166666666666</v>
      </c>
      <c r="F43" s="22"/>
      <c r="G43"/>
      <c r="H43" s="85" t="str">
        <f>H44</f>
        <v>X 18:00</v>
      </c>
      <c r="I43" s="85" t="str">
        <f>I44</f>
        <v>X 17:14</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32">
        <f>A21-A7</f>
        <v>499.5945</v>
      </c>
      <c r="B44" s="17">
        <f>B7</f>
        <v>103.3272</v>
      </c>
      <c r="C44" s="19" t="s">
        <v>248</v>
      </c>
      <c r="D44" s="19" t="s">
        <v>241</v>
      </c>
      <c r="E44" s="39">
        <v>0.7638888888888888</v>
      </c>
      <c r="F44" s="22"/>
      <c r="G44"/>
      <c r="H44" s="70" t="s">
        <v>435</v>
      </c>
      <c r="I44" s="70" t="s">
        <v>436</v>
      </c>
      <c r="J44"/>
      <c r="K44" s="70"/>
      <c r="L44" s="61"/>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32">
        <f>A21-A5</f>
        <v>572.804</v>
      </c>
      <c r="B45" s="17">
        <f>B5</f>
        <v>11.5824</v>
      </c>
      <c r="C45" s="19" t="s">
        <v>245</v>
      </c>
      <c r="D45" s="19" t="s">
        <v>246</v>
      </c>
      <c r="E45" s="39">
        <v>0.8333333333333334</v>
      </c>
      <c r="F45" s="22"/>
      <c r="G45"/>
      <c r="H45" s="37">
        <v>0.8229166666666666</v>
      </c>
      <c r="I45" s="37">
        <v>0.7916666666666666</v>
      </c>
      <c r="J45"/>
      <c r="K45" s="39"/>
      <c r="L45"/>
      <c r="M45"/>
      <c r="N45" s="39"/>
      <c r="O45" s="39"/>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2:255" ht="12.75">
      <c r="B46"/>
      <c r="C46" s="16" t="s">
        <v>445</v>
      </c>
      <c r="D46" s="19"/>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2.75">
      <c r="C47" s="19" t="s">
        <v>290</v>
      </c>
      <c r="D47" s="19"/>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5">
      <c r="C50" s="75" t="s">
        <v>447</v>
      </c>
      <c r="D50" s="1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2.75">
      <c r="C51" t="s">
        <v>448</v>
      </c>
      <c r="D51" s="19"/>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255" ht="12.75">
      <c r="C52" t="s">
        <v>449</v>
      </c>
      <c r="D52" s="19"/>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4:255" ht="12.75">
      <c r="D53" s="19"/>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255" ht="12.75">
      <c r="C54" s="16" t="s">
        <v>450</v>
      </c>
      <c r="D54" s="19"/>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4:255" ht="12.75">
      <c r="D55" s="19"/>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3:255" ht="12.75">
      <c r="C56" s="76" t="s">
        <v>451</v>
      </c>
      <c r="D56" s="19"/>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3:255" ht="12.75">
      <c r="C57" s="19" t="s">
        <v>452</v>
      </c>
      <c r="D57" s="19"/>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3:255" ht="12.75">
      <c r="C58" s="19" t="s">
        <v>453</v>
      </c>
      <c r="D58" s="19"/>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3:255" ht="12.75">
      <c r="C59" s="19" t="s">
        <v>454</v>
      </c>
      <c r="D59" s="1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3:255" ht="12.75">
      <c r="C60" s="19"/>
      <c r="D60" s="19"/>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ht="12.75">
      <c r="A62" s="50" t="s">
        <v>2</v>
      </c>
      <c r="B62" s="36" t="s">
        <v>222</v>
      </c>
      <c r="C62" s="42" t="s">
        <v>237</v>
      </c>
      <c r="D62" s="19"/>
      <c r="E62" s="22" t="s">
        <v>80</v>
      </c>
      <c r="F62" s="22" t="s">
        <v>85</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2:255" ht="12.75">
      <c r="B63"/>
      <c r="C63" s="19"/>
      <c r="D63" s="19"/>
      <c r="E63" t="s">
        <v>144</v>
      </c>
      <c r="F63" t="s">
        <v>146</v>
      </c>
      <c r="G63"/>
      <c r="H63" s="22"/>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ht="12.75">
      <c r="A64"/>
      <c r="B64"/>
      <c r="C64" s="19"/>
      <c r="D64" s="19"/>
      <c r="E64" s="23" t="s">
        <v>443</v>
      </c>
      <c r="F64" s="23" t="s">
        <v>396</v>
      </c>
      <c r="G64" s="22"/>
      <c r="H64" s="22"/>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2.75">
      <c r="A65" s="32">
        <f>A96-A96</f>
        <v>0</v>
      </c>
      <c r="B65" s="17">
        <f>0.3048*38</f>
        <v>11.5824</v>
      </c>
      <c r="C65" s="19" t="s">
        <v>245</v>
      </c>
      <c r="D65" s="19" t="s">
        <v>241</v>
      </c>
      <c r="E65" s="39">
        <v>0.28125</v>
      </c>
      <c r="F65" s="39">
        <v>0.4166666666666667</v>
      </c>
      <c r="G65"/>
      <c r="H65" s="22"/>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2.75">
      <c r="A66" s="34">
        <f>A96-A95</f>
        <v>64.03999999999999</v>
      </c>
      <c r="B66" s="17">
        <f>0.3048*40</f>
        <v>12.192</v>
      </c>
      <c r="C66" s="19" t="s">
        <v>244</v>
      </c>
      <c r="D66" s="19" t="s">
        <v>246</v>
      </c>
      <c r="E66" s="39">
        <v>0.3368055555555556</v>
      </c>
      <c r="F66" s="39">
        <v>0.46875</v>
      </c>
      <c r="G66"/>
      <c r="H66" s="22"/>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2.75">
      <c r="A67" s="32">
        <f>A96-A94</f>
        <v>64.03999999999999</v>
      </c>
      <c r="B67" s="17">
        <f>B66</f>
        <v>12.192</v>
      </c>
      <c r="C67" t="str">
        <f>C66</f>
        <v>Girdwood</v>
      </c>
      <c r="D67" s="19" t="s">
        <v>241</v>
      </c>
      <c r="E67" s="39">
        <v>0.3402777777777778</v>
      </c>
      <c r="F67" s="39">
        <v>0.4722222222222222</v>
      </c>
      <c r="G67"/>
      <c r="H67" s="22"/>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2.75">
      <c r="A68" s="32">
        <f>A96-A93</f>
        <v>80.60999999999999</v>
      </c>
      <c r="B68" s="17">
        <f>B69</f>
        <v>10.0584</v>
      </c>
      <c r="C68" s="19" t="s">
        <v>270</v>
      </c>
      <c r="D68" s="19" t="s">
        <v>246</v>
      </c>
      <c r="E68" s="60" t="s">
        <v>251</v>
      </c>
      <c r="F68" s="39">
        <v>0.4826388888888889</v>
      </c>
      <c r="G68"/>
      <c r="H68" s="22"/>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ht="12.75">
      <c r="A69" s="32">
        <f>A68</f>
        <v>80.60999999999999</v>
      </c>
      <c r="B69" s="17">
        <f>0.3048*33</f>
        <v>10.0584</v>
      </c>
      <c r="C69" s="19" t="s">
        <v>468</v>
      </c>
      <c r="D69" s="19" t="s">
        <v>241</v>
      </c>
      <c r="E69" s="60" t="s">
        <v>251</v>
      </c>
      <c r="F69" s="39">
        <v>0.4861111111111111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ht="12.75">
      <c r="A70" s="32">
        <f>(12*1.609)+A69</f>
        <v>99.91799999999998</v>
      </c>
      <c r="B70" s="17">
        <f>0.3048*21</f>
        <v>6.4008</v>
      </c>
      <c r="C70" s="19" t="s">
        <v>269</v>
      </c>
      <c r="D70" s="19" t="s">
        <v>246</v>
      </c>
      <c r="E70" s="60" t="s">
        <v>251</v>
      </c>
      <c r="F70" s="39">
        <v>0.5138888888888888</v>
      </c>
      <c r="G70"/>
      <c r="H70" s="22"/>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ht="12.75">
      <c r="A71" s="32">
        <v>0</v>
      </c>
      <c r="B71" s="17">
        <f>B70</f>
        <v>6.4008</v>
      </c>
      <c r="C71" s="19" t="s">
        <v>269</v>
      </c>
      <c r="D71" s="19" t="s">
        <v>241</v>
      </c>
      <c r="E71" s="60" t="s">
        <v>251</v>
      </c>
      <c r="F71" s="39">
        <v>0.5243055555555556</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s="32">
        <f>12*1.609</f>
        <v>19.308</v>
      </c>
      <c r="B72" s="17">
        <f>B73</f>
        <v>10.0584</v>
      </c>
      <c r="C72" s="19" t="s">
        <v>468</v>
      </c>
      <c r="D72" s="19" t="s">
        <v>246</v>
      </c>
      <c r="E72" s="60" t="s">
        <v>251</v>
      </c>
      <c r="F72" s="39">
        <v>0.5625</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s="32">
        <f>A96-A88</f>
        <v>80.60999999999999</v>
      </c>
      <c r="B73" s="17">
        <f>B69</f>
        <v>10.0584</v>
      </c>
      <c r="C73" s="19" t="s">
        <v>270</v>
      </c>
      <c r="D73" s="19" t="s">
        <v>241</v>
      </c>
      <c r="E73" s="60" t="s">
        <v>251</v>
      </c>
      <c r="F73" s="39">
        <v>0.5659722222222222</v>
      </c>
      <c r="G73"/>
      <c r="H73" s="22"/>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s="32">
        <f>A96-A87</f>
        <v>94.11999999999999</v>
      </c>
      <c r="B74" s="17">
        <f>B75</f>
        <v>38.829</v>
      </c>
      <c r="C74" s="17" t="str">
        <f>C75</f>
        <v>Spencer</v>
      </c>
      <c r="D74" s="19" t="s">
        <v>246</v>
      </c>
      <c r="E74" s="60" t="s">
        <v>251</v>
      </c>
      <c r="F74" s="39">
        <v>0.5729166666666666</v>
      </c>
      <c r="G74"/>
      <c r="H74" s="22"/>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s="32">
        <f>A96-A86</f>
        <v>94.11999999999999</v>
      </c>
      <c r="B75" s="78">
        <v>38.829</v>
      </c>
      <c r="C75" s="19" t="s">
        <v>455</v>
      </c>
      <c r="D75" s="19" t="s">
        <v>241</v>
      </c>
      <c r="E75" s="60" t="s">
        <v>251</v>
      </c>
      <c r="F75" s="39">
        <v>0.5798611111111112</v>
      </c>
      <c r="G75"/>
      <c r="H75" s="22"/>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s="32">
        <f>A96-A85</f>
        <v>110.64999999999999</v>
      </c>
      <c r="B76" s="17">
        <f>0.3048*1063</f>
        <v>324.0024</v>
      </c>
      <c r="C76" s="19" t="s">
        <v>456</v>
      </c>
      <c r="D76" s="19" t="s">
        <v>246</v>
      </c>
      <c r="E76" s="60" t="s">
        <v>251</v>
      </c>
      <c r="F76" s="39">
        <v>0.6284722222222222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s="32">
        <f>A96-A84</f>
        <v>178.23</v>
      </c>
      <c r="B77" s="17">
        <f>0.3048*20</f>
        <v>6.096</v>
      </c>
      <c r="C77" s="19" t="s">
        <v>219</v>
      </c>
      <c r="D77" s="19" t="s">
        <v>246</v>
      </c>
      <c r="E77" s="39">
        <v>0.4618055555555556</v>
      </c>
      <c r="F77" s="22"/>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C78" s="19" t="s">
        <v>457</v>
      </c>
      <c r="D78" s="19"/>
      <c r="E78" s="22"/>
      <c r="F78" s="22"/>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C79" s="19" t="s">
        <v>458</v>
      </c>
      <c r="D79" s="19"/>
      <c r="E79" s="22"/>
      <c r="F79" s="22"/>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C80" s="19"/>
      <c r="D80" s="19"/>
      <c r="E80" s="22"/>
      <c r="F80" s="22"/>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s="50" t="s">
        <v>2</v>
      </c>
      <c r="B81" s="36" t="s">
        <v>222</v>
      </c>
      <c r="C81" s="42" t="s">
        <v>223</v>
      </c>
      <c r="D81" s="19"/>
      <c r="E81" s="22" t="s">
        <v>85</v>
      </c>
      <c r="F81" s="22" t="s">
        <v>80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2.75">
      <c r="A82"/>
      <c r="B82"/>
      <c r="C82"/>
      <c r="D82"/>
      <c r="E82" t="s">
        <v>146</v>
      </c>
      <c r="F82" t="s">
        <v>144</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3:255" ht="12.75">
      <c r="C83" s="19"/>
      <c r="D83" s="19"/>
      <c r="E83" s="23" t="s">
        <v>396</v>
      </c>
      <c r="F83" s="23" t="s">
        <v>443</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2.75">
      <c r="A84">
        <v>0</v>
      </c>
      <c r="B84" s="44">
        <f>B77</f>
        <v>6.096</v>
      </c>
      <c r="C84" s="19" t="s">
        <v>219</v>
      </c>
      <c r="D84" s="19" t="s">
        <v>241</v>
      </c>
      <c r="E84" s="22"/>
      <c r="F84" s="39">
        <v>0.75</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2.75">
      <c r="A85" s="18">
        <v>67.58</v>
      </c>
      <c r="B85" s="32">
        <f>B76</f>
        <v>324.0024</v>
      </c>
      <c r="C85" s="19" t="s">
        <v>456</v>
      </c>
      <c r="D85"/>
      <c r="E85" s="39">
        <v>0.6388888888888888</v>
      </c>
      <c r="F85" s="60" t="s">
        <v>251</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2.75">
      <c r="A86" s="18">
        <v>84.11</v>
      </c>
      <c r="B86" s="17">
        <f>B87</f>
        <v>38.829</v>
      </c>
      <c r="C86" s="17" t="str">
        <f>C87</f>
        <v>Spencer</v>
      </c>
      <c r="D86" s="19" t="s">
        <v>246</v>
      </c>
      <c r="E86" s="39">
        <v>0.6875</v>
      </c>
      <c r="F86" s="60" t="s">
        <v>251</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12.75">
      <c r="A87" s="18">
        <v>84.11</v>
      </c>
      <c r="B87" s="79">
        <f>B75</f>
        <v>38.829</v>
      </c>
      <c r="C87" s="19" t="s">
        <v>455</v>
      </c>
      <c r="D87" s="19" t="s">
        <v>241</v>
      </c>
      <c r="E87" s="39">
        <v>0.6944444444444444</v>
      </c>
      <c r="F87" s="60" t="s">
        <v>251</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12.75">
      <c r="A88" s="18">
        <v>97.62</v>
      </c>
      <c r="B88" s="51">
        <f>B73</f>
        <v>10.0584</v>
      </c>
      <c r="C88" s="19" t="s">
        <v>270</v>
      </c>
      <c r="D88" s="19" t="s">
        <v>246</v>
      </c>
      <c r="E88" s="39">
        <v>0.71875</v>
      </c>
      <c r="F88" s="60" t="s">
        <v>251</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2.75">
      <c r="A89" s="18">
        <v>97.62</v>
      </c>
      <c r="B89" s="17">
        <f>B88</f>
        <v>10.0584</v>
      </c>
      <c r="C89" s="19" t="s">
        <v>468</v>
      </c>
      <c r="D89" s="19" t="s">
        <v>241</v>
      </c>
      <c r="E89" s="39">
        <v>0.7222222222222222</v>
      </c>
      <c r="F89" s="60" t="s">
        <v>251</v>
      </c>
      <c r="G89"/>
      <c r="H89"/>
      <c r="I89"/>
      <c r="J89"/>
      <c r="K89" s="39"/>
      <c r="L89" s="3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12.75">
      <c r="A90">
        <v>117</v>
      </c>
      <c r="B90" s="17">
        <f>B70</f>
        <v>6.4008</v>
      </c>
      <c r="C90" s="19" t="s">
        <v>269</v>
      </c>
      <c r="D90" s="19" t="s">
        <v>246</v>
      </c>
      <c r="E90" s="39">
        <v>0.78125</v>
      </c>
      <c r="F90" s="60" t="s">
        <v>251</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2.75">
      <c r="A91">
        <v>0</v>
      </c>
      <c r="B91" s="17">
        <f>B71</f>
        <v>6.4008</v>
      </c>
      <c r="C91" s="19" t="s">
        <v>269</v>
      </c>
      <c r="D91" s="19" t="s">
        <v>241</v>
      </c>
      <c r="E91" s="39">
        <v>0.7881944444444444</v>
      </c>
      <c r="F91" s="60" t="s">
        <v>251</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2.75">
      <c r="A92" s="18">
        <f>A72</f>
        <v>19.308</v>
      </c>
      <c r="B92" s="17">
        <f>B93</f>
        <v>10.0584</v>
      </c>
      <c r="C92" s="19" t="s">
        <v>468</v>
      </c>
      <c r="D92" s="19" t="s">
        <v>246</v>
      </c>
      <c r="E92" s="39">
        <v>0.8020833333333334</v>
      </c>
      <c r="F92" s="60" t="s">
        <v>251</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2.75">
      <c r="A93" s="18">
        <v>97.62</v>
      </c>
      <c r="B93" s="17">
        <f>B69</f>
        <v>10.0584</v>
      </c>
      <c r="C93" s="19" t="s">
        <v>270</v>
      </c>
      <c r="D93" s="19" t="s">
        <v>241</v>
      </c>
      <c r="E93" s="39">
        <v>0.8055555555555556</v>
      </c>
      <c r="F93" s="60" t="s">
        <v>251</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s="18">
        <v>114.19</v>
      </c>
      <c r="B94" s="17">
        <f>B66</f>
        <v>12.192</v>
      </c>
      <c r="C94" s="19" t="s">
        <v>244</v>
      </c>
      <c r="D94" s="19" t="s">
        <v>246</v>
      </c>
      <c r="E94" s="39">
        <v>0.8159722222222222</v>
      </c>
      <c r="F94" s="39">
        <v>0.8715277777777778</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s="18">
        <v>114.19</v>
      </c>
      <c r="B95" s="17">
        <f>B94</f>
        <v>12.192</v>
      </c>
      <c r="C95" s="17" t="str">
        <f>C94</f>
        <v>Girdwood</v>
      </c>
      <c r="D95" s="19" t="s">
        <v>241</v>
      </c>
      <c r="E95" s="39">
        <v>0.8194444444444444</v>
      </c>
      <c r="F95" s="39">
        <v>0.875</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s="18">
        <v>178.23</v>
      </c>
      <c r="B96" s="17">
        <f>B65</f>
        <v>11.5824</v>
      </c>
      <c r="C96" s="19" t="s">
        <v>245</v>
      </c>
      <c r="D96" s="19" t="s">
        <v>246</v>
      </c>
      <c r="E96" s="39">
        <v>0.8854166666666666</v>
      </c>
      <c r="F96" s="39">
        <v>0.9270833333333334</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C97" s="19" t="s">
        <v>457</v>
      </c>
      <c r="D97" s="19"/>
      <c r="E97"/>
      <c r="F97"/>
      <c r="G97"/>
      <c r="H97" s="22"/>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3:255" ht="12.75">
      <c r="C98" s="19" t="s">
        <v>458</v>
      </c>
      <c r="D98" s="19"/>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28.xml><?xml version="1.0" encoding="utf-8"?>
<worksheet xmlns="http://schemas.openxmlformats.org/spreadsheetml/2006/main" xmlns:r="http://schemas.openxmlformats.org/officeDocument/2006/relationships">
  <dimension ref="A1:IV146"/>
  <sheetViews>
    <sheetView zoomScale="80" zoomScaleNormal="80" workbookViewId="0" topLeftCell="A1">
      <selection activeCell="A1" sqref="A1"/>
    </sheetView>
  </sheetViews>
  <sheetFormatPr defaultColWidth="12.57421875" defaultRowHeight="12.75"/>
  <cols>
    <col min="1" max="1" width="5.8515625" style="16" customWidth="1"/>
    <col min="2" max="2" width="6.421875" style="16" customWidth="1"/>
    <col min="3" max="3" width="19.7109375" style="16" customWidth="1"/>
    <col min="4" max="4" width="2.140625" style="16" customWidth="1"/>
    <col min="5" max="16384" width="11.57421875" style="16" customWidth="1"/>
  </cols>
  <sheetData>
    <row r="1" spans="1:22" ht="12.75">
      <c r="A1" s="3">
        <v>2012</v>
      </c>
      <c r="B1" s="3"/>
      <c r="C1" s="3" t="s">
        <v>34</v>
      </c>
      <c r="D1" s="19"/>
      <c r="E1" s="22">
        <v>2</v>
      </c>
      <c r="F1" s="22">
        <v>4</v>
      </c>
      <c r="G1"/>
      <c r="H1">
        <v>10</v>
      </c>
      <c r="I1">
        <v>10</v>
      </c>
      <c r="J1"/>
      <c r="K1"/>
      <c r="L1"/>
      <c r="M1"/>
      <c r="N1"/>
      <c r="O1"/>
      <c r="P1"/>
      <c r="Q1"/>
      <c r="R1"/>
      <c r="S1"/>
      <c r="T1"/>
      <c r="U1"/>
      <c r="V1"/>
    </row>
    <row r="2" spans="1:15" ht="12.75">
      <c r="A2" s="16" t="s">
        <v>2</v>
      </c>
      <c r="B2" s="36" t="s">
        <v>222</v>
      </c>
      <c r="C2" s="42" t="s">
        <v>223</v>
      </c>
      <c r="D2" s="19"/>
      <c r="E2" s="56" t="s">
        <v>83</v>
      </c>
      <c r="F2" s="56" t="s">
        <v>88</v>
      </c>
      <c r="G2"/>
      <c r="H2" s="56" t="s">
        <v>92</v>
      </c>
      <c r="I2" s="56" t="s">
        <v>96</v>
      </c>
      <c r="J2"/>
      <c r="K2"/>
      <c r="N2"/>
      <c r="O2"/>
    </row>
    <row r="3" spans="2:19" ht="12.75">
      <c r="B3"/>
      <c r="C3" s="19"/>
      <c r="D3" s="19"/>
      <c r="E3" s="6" t="s">
        <v>138</v>
      </c>
      <c r="F3" s="56" t="s">
        <v>163</v>
      </c>
      <c r="G3"/>
      <c r="H3" s="56" t="s">
        <v>93</v>
      </c>
      <c r="I3" s="56" t="s">
        <v>469</v>
      </c>
      <c r="J3"/>
      <c r="K3"/>
      <c r="N3"/>
      <c r="O3"/>
      <c r="S3"/>
    </row>
    <row r="4" spans="2:19" ht="12.75">
      <c r="B4"/>
      <c r="C4" s="19"/>
      <c r="D4" s="19"/>
      <c r="E4" s="57" t="s">
        <v>159</v>
      </c>
      <c r="F4" s="43" t="s">
        <v>148</v>
      </c>
      <c r="G4"/>
      <c r="H4" s="43" t="s">
        <v>82</v>
      </c>
      <c r="I4" s="43" t="s">
        <v>148</v>
      </c>
      <c r="J4"/>
      <c r="K4"/>
      <c r="N4"/>
      <c r="O4"/>
      <c r="S4"/>
    </row>
    <row r="5" spans="1:15" ht="12.75">
      <c r="A5" s="32">
        <v>0</v>
      </c>
      <c r="B5" s="17">
        <f>0.3048*38</f>
        <v>11.5824</v>
      </c>
      <c r="C5" s="19" t="s">
        <v>245</v>
      </c>
      <c r="D5" s="19" t="s">
        <v>241</v>
      </c>
      <c r="E5" s="86">
        <v>0.34375</v>
      </c>
      <c r="F5" s="19"/>
      <c r="G5"/>
      <c r="H5" s="86">
        <v>0.3541666666666667</v>
      </c>
      <c r="I5" s="86">
        <v>0.3541666666666667</v>
      </c>
      <c r="J5"/>
      <c r="K5"/>
      <c r="N5"/>
      <c r="O5"/>
    </row>
    <row r="6" spans="1:18" ht="12.75">
      <c r="A6" s="32">
        <v>73.2095</v>
      </c>
      <c r="B6" s="17">
        <f>0.3048*339</f>
        <v>103.3272</v>
      </c>
      <c r="C6" s="19" t="s">
        <v>248</v>
      </c>
      <c r="D6" s="19"/>
      <c r="E6" s="86">
        <v>0.3993055555555556</v>
      </c>
      <c r="F6" s="86"/>
      <c r="G6" s="19"/>
      <c r="H6" s="86">
        <v>0.40972222222222227</v>
      </c>
      <c r="I6" s="86">
        <v>0.40972222222222227</v>
      </c>
      <c r="J6" s="19"/>
      <c r="K6" s="19"/>
      <c r="M6"/>
      <c r="N6"/>
      <c r="O6"/>
      <c r="P6"/>
      <c r="Q6"/>
      <c r="R6"/>
    </row>
    <row r="7" spans="1:18" ht="12.75">
      <c r="A7" s="32">
        <v>180.8516</v>
      </c>
      <c r="B7" s="17">
        <f>0.3048*354</f>
        <v>107.89920000000001</v>
      </c>
      <c r="C7" s="19" t="s">
        <v>249</v>
      </c>
      <c r="D7" s="19" t="s">
        <v>246</v>
      </c>
      <c r="E7" s="86">
        <v>0.4618055555555556</v>
      </c>
      <c r="F7" s="19"/>
      <c r="G7" s="19"/>
      <c r="H7" s="86">
        <v>0.4756944444444444</v>
      </c>
      <c r="I7" s="86">
        <v>0.4756944444444444</v>
      </c>
      <c r="J7" s="19"/>
      <c r="K7" s="19"/>
      <c r="M7"/>
      <c r="N7"/>
      <c r="O7"/>
      <c r="P7"/>
      <c r="Q7"/>
      <c r="R7"/>
    </row>
    <row r="8" spans="1:15" ht="12.75">
      <c r="A8" s="32">
        <v>180.8516</v>
      </c>
      <c r="B8" s="17">
        <f>B7</f>
        <v>107.89920000000001</v>
      </c>
      <c r="C8" s="19" t="s">
        <v>249</v>
      </c>
      <c r="D8" s="19" t="s">
        <v>241</v>
      </c>
      <c r="E8" s="86">
        <v>0.47222222222222227</v>
      </c>
      <c r="F8" s="86">
        <v>0.5104166666666666</v>
      </c>
      <c r="G8" s="19"/>
      <c r="H8" s="86">
        <v>0.4756944444444444</v>
      </c>
      <c r="I8" s="86">
        <v>0.4756944444444444</v>
      </c>
      <c r="J8" s="19"/>
      <c r="K8" s="19"/>
      <c r="N8"/>
      <c r="O8"/>
    </row>
    <row r="9" spans="1:15" ht="12.75">
      <c r="A9" s="32">
        <v>196.1371</v>
      </c>
      <c r="B9" s="17">
        <f>0.3048*461</f>
        <v>140.5128</v>
      </c>
      <c r="C9" s="19" t="s">
        <v>309</v>
      </c>
      <c r="D9" s="47" t="s">
        <v>286</v>
      </c>
      <c r="E9" s="56" t="s">
        <v>251</v>
      </c>
      <c r="F9" s="86">
        <v>0.51875</v>
      </c>
      <c r="G9" s="19"/>
      <c r="H9" s="86">
        <v>0.4930555555555556</v>
      </c>
      <c r="I9" s="86">
        <f>H9</f>
        <v>0.4930555555555556</v>
      </c>
      <c r="J9" s="19"/>
      <c r="K9" s="19"/>
      <c r="N9"/>
      <c r="O9"/>
    </row>
    <row r="10" spans="1:15" ht="12.75">
      <c r="A10" s="32">
        <v>215.9278</v>
      </c>
      <c r="B10" s="17">
        <f>0.3048*546</f>
        <v>166.4208</v>
      </c>
      <c r="C10" s="19" t="s">
        <v>250</v>
      </c>
      <c r="D10" s="47" t="s">
        <v>286</v>
      </c>
      <c r="E10" s="56" t="s">
        <v>251</v>
      </c>
      <c r="F10" s="86">
        <v>0.5347222222222222</v>
      </c>
      <c r="G10" s="19"/>
      <c r="H10" s="86">
        <v>0.5069444444444444</v>
      </c>
      <c r="I10" s="86">
        <f>H10</f>
        <v>0.5069444444444444</v>
      </c>
      <c r="J10" s="19"/>
      <c r="K10" s="19"/>
      <c r="N10"/>
      <c r="O10"/>
    </row>
    <row r="11" spans="1:15" ht="12.75">
      <c r="A11" s="32">
        <v>230.7306</v>
      </c>
      <c r="B11" s="17">
        <f>0.3048*621</f>
        <v>189.2808</v>
      </c>
      <c r="C11" s="19" t="s">
        <v>310</v>
      </c>
      <c r="D11" s="47" t="s">
        <v>286</v>
      </c>
      <c r="E11" s="56" t="s">
        <v>251</v>
      </c>
      <c r="F11" s="86">
        <v>0.545138888888889</v>
      </c>
      <c r="G11" s="19"/>
      <c r="H11" s="86">
        <v>0.5208333333333334</v>
      </c>
      <c r="I11" s="86">
        <f>H11</f>
        <v>0.5208333333333334</v>
      </c>
      <c r="J11" s="19"/>
      <c r="K11" s="19"/>
      <c r="N11"/>
      <c r="O11"/>
    </row>
    <row r="12" spans="1:15" ht="12.75">
      <c r="A12" s="32">
        <v>239.5801</v>
      </c>
      <c r="B12" s="17">
        <f>0.3048*731</f>
        <v>222.80880000000002</v>
      </c>
      <c r="C12" s="19" t="s">
        <v>311</v>
      </c>
      <c r="D12" s="47" t="s">
        <v>286</v>
      </c>
      <c r="E12" s="56" t="s">
        <v>251</v>
      </c>
      <c r="F12" s="86">
        <v>0.5555555555555556</v>
      </c>
      <c r="G12" s="19"/>
      <c r="H12" s="86">
        <v>0.5277777777777778</v>
      </c>
      <c r="I12" s="86">
        <f>H12</f>
        <v>0.5277777777777778</v>
      </c>
      <c r="J12" s="19"/>
      <c r="K12" s="19"/>
      <c r="N12"/>
      <c r="O12"/>
    </row>
    <row r="13" spans="1:15" ht="12.75">
      <c r="A13" s="32">
        <v>247.9469</v>
      </c>
      <c r="B13" s="17">
        <f>0.3048*879</f>
        <v>267.9192</v>
      </c>
      <c r="C13" s="19" t="s">
        <v>312</v>
      </c>
      <c r="D13" s="47" t="s">
        <v>286</v>
      </c>
      <c r="E13" s="56" t="s">
        <v>251</v>
      </c>
      <c r="F13" s="86">
        <v>0.5659722222222222</v>
      </c>
      <c r="G13" s="19"/>
      <c r="H13" s="86">
        <v>0.545138888888889</v>
      </c>
      <c r="I13" s="86">
        <f>H13</f>
        <v>0.545138888888889</v>
      </c>
      <c r="J13" s="19"/>
      <c r="K13" s="19"/>
      <c r="N13"/>
      <c r="O13"/>
    </row>
    <row r="14" spans="1:15" ht="12.75">
      <c r="A14" s="32">
        <v>256.6355</v>
      </c>
      <c r="B14" s="17">
        <f>0.3048*1280</f>
        <v>390.144</v>
      </c>
      <c r="C14" s="19" t="s">
        <v>313</v>
      </c>
      <c r="D14" s="47" t="s">
        <v>286</v>
      </c>
      <c r="E14" s="56" t="s">
        <v>251</v>
      </c>
      <c r="F14" s="86">
        <v>0.576388888888889</v>
      </c>
      <c r="G14" s="19"/>
      <c r="H14" s="86">
        <v>0.5555555555555556</v>
      </c>
      <c r="I14" s="86">
        <f>H14</f>
        <v>0.5555555555555556</v>
      </c>
      <c r="J14" s="19"/>
      <c r="K14" s="19"/>
      <c r="N14"/>
      <c r="O14"/>
    </row>
    <row r="15" spans="1:15" ht="12.75">
      <c r="A15" s="32">
        <v>268.8639</v>
      </c>
      <c r="B15" s="17">
        <f>0.3048*1688</f>
        <v>514.5024000000001</v>
      </c>
      <c r="C15" s="19" t="s">
        <v>252</v>
      </c>
      <c r="D15" s="47" t="s">
        <v>286</v>
      </c>
      <c r="E15" s="56" t="s">
        <v>251</v>
      </c>
      <c r="F15" s="86">
        <v>0.59375</v>
      </c>
      <c r="G15" s="19"/>
      <c r="H15" s="86">
        <v>0.5694444444444444</v>
      </c>
      <c r="I15" s="86">
        <v>0.5694444444444444</v>
      </c>
      <c r="J15" s="19"/>
      <c r="K15" s="19"/>
      <c r="N15"/>
      <c r="O15"/>
    </row>
    <row r="16" spans="1:15" ht="12.75">
      <c r="A16" s="32">
        <v>375.5406</v>
      </c>
      <c r="B16" s="17">
        <f>0.3048*1732</f>
        <v>527.9136</v>
      </c>
      <c r="C16" s="19" t="s">
        <v>444</v>
      </c>
      <c r="D16" s="19" t="s">
        <v>246</v>
      </c>
      <c r="E16" s="86">
        <v>0.65625</v>
      </c>
      <c r="F16" s="19"/>
      <c r="G16" s="19"/>
      <c r="H16" s="86">
        <v>0.6631944444444444</v>
      </c>
      <c r="I16" s="19"/>
      <c r="J16" s="19"/>
      <c r="K16" s="19"/>
      <c r="N16"/>
      <c r="O16"/>
    </row>
    <row r="17" spans="1:15" ht="12.75">
      <c r="A17" s="32">
        <v>375.5406</v>
      </c>
      <c r="B17" s="17">
        <f>B16</f>
        <v>527.9136</v>
      </c>
      <c r="C17" s="19" t="s">
        <v>444</v>
      </c>
      <c r="D17" s="19" t="s">
        <v>241</v>
      </c>
      <c r="E17" s="86">
        <v>0.6631944444444444</v>
      </c>
      <c r="F17" s="19"/>
      <c r="G17" s="19"/>
      <c r="H17" s="86">
        <v>0.6631944444444444</v>
      </c>
      <c r="I17" s="19"/>
      <c r="J17" s="19"/>
      <c r="K17" s="19"/>
      <c r="N17"/>
      <c r="O17"/>
    </row>
    <row r="18" spans="1:15" ht="12.75">
      <c r="A18" s="32">
        <v>393.2396</v>
      </c>
      <c r="B18" s="17">
        <f>0.3048*1368</f>
        <v>416.9664</v>
      </c>
      <c r="C18" s="19" t="s">
        <v>256</v>
      </c>
      <c r="D18" s="19"/>
      <c r="E18" s="56" t="s">
        <v>251</v>
      </c>
      <c r="F18" s="19"/>
      <c r="G18" s="19"/>
      <c r="H18" s="86">
        <v>0.6944444444444445</v>
      </c>
      <c r="I18" s="19"/>
      <c r="J18" s="19"/>
      <c r="K18" s="19"/>
      <c r="N18"/>
      <c r="O18"/>
    </row>
    <row r="19" spans="1:15" ht="12.75">
      <c r="A19" s="32">
        <v>478.5166</v>
      </c>
      <c r="B19" s="17">
        <f>0.3048*362</f>
        <v>110.33760000000001</v>
      </c>
      <c r="C19" s="19" t="s">
        <v>257</v>
      </c>
      <c r="D19" s="19"/>
      <c r="E19" s="56" t="s">
        <v>251</v>
      </c>
      <c r="F19" s="19"/>
      <c r="G19" s="19"/>
      <c r="H19" s="86">
        <v>0.7465277777777778</v>
      </c>
      <c r="I19" s="19"/>
      <c r="J19" s="19"/>
      <c r="K19" s="19"/>
      <c r="N19"/>
      <c r="O19"/>
    </row>
    <row r="20" spans="1:15" ht="12.75">
      <c r="A20" s="32">
        <v>572.804</v>
      </c>
      <c r="B20" s="17">
        <f>0.3048*448</f>
        <v>136.5504</v>
      </c>
      <c r="C20" s="19" t="s">
        <v>258</v>
      </c>
      <c r="D20" s="19" t="s">
        <v>246</v>
      </c>
      <c r="E20" s="86">
        <v>0.8333333333333334</v>
      </c>
      <c r="F20" s="19"/>
      <c r="G20" s="19"/>
      <c r="H20" s="86">
        <v>0.8333333333333334</v>
      </c>
      <c r="I20" s="19"/>
      <c r="J20" s="19"/>
      <c r="K20" s="19"/>
      <c r="N20"/>
      <c r="O20"/>
    </row>
    <row r="21" spans="2:15" ht="12.75">
      <c r="B21"/>
      <c r="C21" s="16" t="s">
        <v>445</v>
      </c>
      <c r="D21" s="19"/>
      <c r="E21" s="19"/>
      <c r="F21" s="19"/>
      <c r="G21" s="19"/>
      <c r="H21" s="19"/>
      <c r="I21" s="19"/>
      <c r="J21" s="19"/>
      <c r="K21" s="19"/>
      <c r="N21"/>
      <c r="O21"/>
    </row>
    <row r="22" spans="2:15" ht="12.75">
      <c r="B22"/>
      <c r="C22" s="19" t="s">
        <v>446</v>
      </c>
      <c r="D22" s="19"/>
      <c r="E22" s="19"/>
      <c r="F22" s="19"/>
      <c r="G22" s="19"/>
      <c r="H22" s="19"/>
      <c r="I22" s="19"/>
      <c r="J22" s="19"/>
      <c r="K22" s="19"/>
      <c r="N22"/>
      <c r="O22"/>
    </row>
    <row r="23" spans="2:15" ht="12.75">
      <c r="B23"/>
      <c r="C23" s="19" t="s">
        <v>290</v>
      </c>
      <c r="D23" s="19"/>
      <c r="E23" s="19"/>
      <c r="F23" s="19"/>
      <c r="G23" s="19"/>
      <c r="H23" s="19"/>
      <c r="I23" s="19"/>
      <c r="J23" s="19"/>
      <c r="K23" s="19"/>
      <c r="N23"/>
      <c r="O23"/>
    </row>
    <row r="24" spans="1:256"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c r="C25"/>
      <c r="D25"/>
      <c r="E25">
        <v>1</v>
      </c>
      <c r="F25">
        <v>3</v>
      </c>
      <c r="G25"/>
      <c r="H25">
        <v>9</v>
      </c>
      <c r="I25">
        <v>9</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16" ht="12.75">
      <c r="A26" s="16" t="s">
        <v>2</v>
      </c>
      <c r="B26" s="36" t="s">
        <v>222</v>
      </c>
      <c r="C26" s="42" t="s">
        <v>237</v>
      </c>
      <c r="D26" s="19"/>
      <c r="E26" s="56" t="s">
        <v>83</v>
      </c>
      <c r="F26" s="56" t="s">
        <v>88</v>
      </c>
      <c r="G26"/>
      <c r="H26" s="56" t="s">
        <v>92</v>
      </c>
      <c r="I26" s="56" t="s">
        <v>96</v>
      </c>
      <c r="J26" s="19"/>
      <c r="K26"/>
      <c r="L26"/>
      <c r="M26"/>
      <c r="N26"/>
      <c r="O26"/>
      <c r="P26"/>
    </row>
    <row r="27" spans="2:16" ht="12.75">
      <c r="B27"/>
      <c r="C27" s="19"/>
      <c r="D27" s="19"/>
      <c r="E27" s="56" t="s">
        <v>160</v>
      </c>
      <c r="F27" s="56" t="s">
        <v>163</v>
      </c>
      <c r="G27"/>
      <c r="H27" s="56" t="s">
        <v>114</v>
      </c>
      <c r="I27" s="56" t="s">
        <v>469</v>
      </c>
      <c r="J27" s="19"/>
      <c r="K27"/>
      <c r="L27"/>
      <c r="M27"/>
      <c r="N27"/>
      <c r="O27"/>
      <c r="P27"/>
    </row>
    <row r="28" spans="2:16" ht="12.75">
      <c r="B28"/>
      <c r="C28" s="19"/>
      <c r="D28" s="19"/>
      <c r="E28" s="57" t="s">
        <v>159</v>
      </c>
      <c r="F28" s="43" t="s">
        <v>148</v>
      </c>
      <c r="G28"/>
      <c r="H28" s="43" t="s">
        <v>82</v>
      </c>
      <c r="I28" s="43" t="s">
        <v>148</v>
      </c>
      <c r="J28" s="19"/>
      <c r="K28"/>
      <c r="L28"/>
      <c r="M28"/>
      <c r="N28"/>
      <c r="O28"/>
      <c r="P28"/>
    </row>
    <row r="29" spans="1:16" ht="12.75">
      <c r="A29" s="32">
        <f>A20-A20</f>
        <v>0</v>
      </c>
      <c r="B29" s="17">
        <f>B20-B20</f>
        <v>0</v>
      </c>
      <c r="C29" s="19" t="s">
        <v>258</v>
      </c>
      <c r="D29" s="19" t="s">
        <v>241</v>
      </c>
      <c r="E29" s="86">
        <v>0.34375</v>
      </c>
      <c r="F29" s="19"/>
      <c r="G29"/>
      <c r="H29" s="86">
        <v>0.3541666666666667</v>
      </c>
      <c r="I29" s="19"/>
      <c r="J29" s="19"/>
      <c r="K29"/>
      <c r="L29"/>
      <c r="M29"/>
      <c r="N29"/>
      <c r="O29"/>
      <c r="P29"/>
    </row>
    <row r="30" spans="1:16" ht="12.75">
      <c r="A30" s="32">
        <f>A20-A19</f>
        <v>94.28739999999999</v>
      </c>
      <c r="B30" s="17">
        <f>B19</f>
        <v>110.33760000000001</v>
      </c>
      <c r="C30" s="19" t="s">
        <v>257</v>
      </c>
      <c r="D30" s="19"/>
      <c r="E30" s="56" t="s">
        <v>251</v>
      </c>
      <c r="F30" s="19"/>
      <c r="G30"/>
      <c r="H30" s="86">
        <v>0.4375</v>
      </c>
      <c r="I30" s="19"/>
      <c r="J30" s="19"/>
      <c r="K30"/>
      <c r="L30"/>
      <c r="M30"/>
      <c r="N30"/>
      <c r="O30"/>
      <c r="P30"/>
    </row>
    <row r="31" spans="1:16" ht="12.75">
      <c r="A31" s="32">
        <f>A20-A18</f>
        <v>179.56439999999998</v>
      </c>
      <c r="B31" s="17">
        <f>B18</f>
        <v>416.9664</v>
      </c>
      <c r="C31" s="19" t="s">
        <v>256</v>
      </c>
      <c r="D31" s="19"/>
      <c r="E31" s="56" t="s">
        <v>251</v>
      </c>
      <c r="F31" s="19"/>
      <c r="G31"/>
      <c r="H31" s="86">
        <v>0.4895833333333333</v>
      </c>
      <c r="I31" s="19"/>
      <c r="J31" s="19"/>
      <c r="K31"/>
      <c r="L31"/>
      <c r="M31"/>
      <c r="N31"/>
      <c r="O31"/>
      <c r="P31"/>
    </row>
    <row r="32" spans="1:16" ht="12.75">
      <c r="A32" s="32">
        <f>A20-A17</f>
        <v>197.2634</v>
      </c>
      <c r="B32" s="17">
        <f>B16</f>
        <v>527.9136</v>
      </c>
      <c r="C32" s="19" t="s">
        <v>444</v>
      </c>
      <c r="D32" s="19" t="s">
        <v>246</v>
      </c>
      <c r="E32" s="86">
        <v>0.5104166666666666</v>
      </c>
      <c r="F32" s="19"/>
      <c r="G32"/>
      <c r="H32" s="86">
        <v>0.5208333333333334</v>
      </c>
      <c r="I32" s="19"/>
      <c r="J32" s="19"/>
      <c r="K32"/>
      <c r="L32"/>
      <c r="M32"/>
      <c r="N32"/>
      <c r="O32"/>
      <c r="P32"/>
    </row>
    <row r="33" spans="1:16" ht="12.75">
      <c r="A33" s="32">
        <f>A20-A16</f>
        <v>197.2634</v>
      </c>
      <c r="B33" s="17">
        <f>B32</f>
        <v>527.9136</v>
      </c>
      <c r="C33" s="19" t="s">
        <v>444</v>
      </c>
      <c r="D33" s="19" t="s">
        <v>241</v>
      </c>
      <c r="E33" s="86">
        <v>0.517361111111111</v>
      </c>
      <c r="F33" s="19"/>
      <c r="G33"/>
      <c r="H33" s="86">
        <v>0.5208333333333334</v>
      </c>
      <c r="I33" s="19"/>
      <c r="J33" s="19"/>
      <c r="K33"/>
      <c r="L33"/>
      <c r="M33"/>
      <c r="N33"/>
      <c r="O33"/>
      <c r="P33"/>
    </row>
    <row r="34" spans="1:16" ht="12.75">
      <c r="A34" s="32">
        <f>A20-A15</f>
        <v>303.9401</v>
      </c>
      <c r="B34" s="17">
        <f>B15</f>
        <v>514.5024000000001</v>
      </c>
      <c r="C34" s="19" t="s">
        <v>252</v>
      </c>
      <c r="D34" s="47" t="s">
        <v>286</v>
      </c>
      <c r="E34" s="56" t="s">
        <v>251</v>
      </c>
      <c r="F34" s="86">
        <v>0.6458333333333334</v>
      </c>
      <c r="G34"/>
      <c r="H34" s="86">
        <v>0.6145833333333334</v>
      </c>
      <c r="I34" s="86">
        <v>0.6145833333333334</v>
      </c>
      <c r="J34" s="19"/>
      <c r="K34"/>
      <c r="L34"/>
      <c r="M34"/>
      <c r="N34"/>
      <c r="O34"/>
      <c r="P34"/>
    </row>
    <row r="35" spans="1:16" ht="12.75">
      <c r="A35" s="32">
        <f>A20-A14</f>
        <v>316.1685</v>
      </c>
      <c r="B35" s="17">
        <f>B14</f>
        <v>390.144</v>
      </c>
      <c r="C35" s="19" t="s">
        <v>313</v>
      </c>
      <c r="D35" s="47" t="s">
        <v>286</v>
      </c>
      <c r="E35" s="56" t="s">
        <v>251</v>
      </c>
      <c r="F35" s="86">
        <v>0.6631944444444444</v>
      </c>
      <c r="G35"/>
      <c r="H35" s="86">
        <v>0.6284722222222222</v>
      </c>
      <c r="I35" s="86">
        <f>H35</f>
        <v>0.6284722222222222</v>
      </c>
      <c r="J35" s="19"/>
      <c r="K35"/>
      <c r="L35"/>
      <c r="M35"/>
      <c r="N35"/>
      <c r="O35"/>
      <c r="P35"/>
    </row>
    <row r="36" spans="1:16" ht="12.75">
      <c r="A36" s="32">
        <f>A20-A13</f>
        <v>324.85709999999995</v>
      </c>
      <c r="B36" s="17">
        <f>B13</f>
        <v>267.9192</v>
      </c>
      <c r="C36" s="19" t="s">
        <v>312</v>
      </c>
      <c r="D36" s="47" t="s">
        <v>286</v>
      </c>
      <c r="E36" s="56" t="s">
        <v>251</v>
      </c>
      <c r="F36" s="86">
        <v>0.6736111111111112</v>
      </c>
      <c r="G36"/>
      <c r="H36" s="86">
        <v>0.638888888888889</v>
      </c>
      <c r="I36" s="86">
        <f>H36</f>
        <v>0.638888888888889</v>
      </c>
      <c r="J36" s="19"/>
      <c r="K36"/>
      <c r="L36"/>
      <c r="M36"/>
      <c r="N36"/>
      <c r="O36"/>
      <c r="P36"/>
    </row>
    <row r="37" spans="1:16" ht="12.75">
      <c r="A37" s="32">
        <f>A20-A12</f>
        <v>333.22389999999996</v>
      </c>
      <c r="B37" s="17">
        <f>B12</f>
        <v>222.80880000000002</v>
      </c>
      <c r="C37" s="19" t="s">
        <v>311</v>
      </c>
      <c r="D37" s="47" t="s">
        <v>286</v>
      </c>
      <c r="E37" s="56" t="s">
        <v>251</v>
      </c>
      <c r="F37" s="86">
        <v>0.6805555555555555</v>
      </c>
      <c r="G37"/>
      <c r="H37" s="86">
        <v>0.65625</v>
      </c>
      <c r="I37" s="86">
        <f>H37</f>
        <v>0.65625</v>
      </c>
      <c r="J37" s="19"/>
      <c r="K37"/>
      <c r="L37"/>
      <c r="M37"/>
      <c r="N37"/>
      <c r="O37"/>
      <c r="P37"/>
    </row>
    <row r="38" spans="1:16" ht="12.75">
      <c r="A38" s="32">
        <f>A20-A11</f>
        <v>342.0734</v>
      </c>
      <c r="B38" s="17">
        <f>B11</f>
        <v>189.2808</v>
      </c>
      <c r="C38" s="19" t="s">
        <v>310</v>
      </c>
      <c r="D38" s="47" t="s">
        <v>286</v>
      </c>
      <c r="E38" s="56" t="s">
        <v>251</v>
      </c>
      <c r="F38" s="86">
        <v>0.6979166666666666</v>
      </c>
      <c r="G38"/>
      <c r="H38" s="86">
        <v>0.6631944444444444</v>
      </c>
      <c r="I38" s="86">
        <f>H38</f>
        <v>0.6631944444444444</v>
      </c>
      <c r="J38" s="19"/>
      <c r="K38"/>
      <c r="L38"/>
      <c r="M38"/>
      <c r="N38"/>
      <c r="O38"/>
      <c r="P38"/>
    </row>
    <row r="39" spans="1:16" ht="12.75">
      <c r="A39" s="32">
        <f>A20-A10</f>
        <v>356.8762</v>
      </c>
      <c r="B39" s="17">
        <f>B10</f>
        <v>166.4208</v>
      </c>
      <c r="C39" s="19" t="s">
        <v>250</v>
      </c>
      <c r="D39" s="47" t="s">
        <v>286</v>
      </c>
      <c r="E39" s="56" t="s">
        <v>251</v>
      </c>
      <c r="F39" s="86">
        <v>0.7083333333333334</v>
      </c>
      <c r="G39"/>
      <c r="H39" s="86">
        <v>0.6770833333333334</v>
      </c>
      <c r="I39" s="86">
        <f>H39</f>
        <v>0.6770833333333334</v>
      </c>
      <c r="J39" s="19"/>
      <c r="K39"/>
      <c r="L39"/>
      <c r="M39"/>
      <c r="N39"/>
      <c r="O39"/>
      <c r="P39"/>
    </row>
    <row r="40" spans="1:16" ht="12.75">
      <c r="A40" s="32">
        <f>A20-A9</f>
        <v>376.66689999999994</v>
      </c>
      <c r="B40" s="17">
        <f>B9</f>
        <v>140.5128</v>
      </c>
      <c r="C40" s="19" t="s">
        <v>309</v>
      </c>
      <c r="D40" s="47" t="s">
        <v>286</v>
      </c>
      <c r="E40" s="56" t="s">
        <v>251</v>
      </c>
      <c r="F40" s="86">
        <v>0.7243055555555555</v>
      </c>
      <c r="G40"/>
      <c r="H40" s="86">
        <v>0.6909722222222222</v>
      </c>
      <c r="I40" s="86">
        <f>H40</f>
        <v>0.6909722222222222</v>
      </c>
      <c r="J40" s="19"/>
      <c r="K40"/>
      <c r="L40"/>
      <c r="M40"/>
      <c r="N40"/>
      <c r="O40"/>
      <c r="P40"/>
    </row>
    <row r="41" spans="1:16" ht="12.75">
      <c r="A41" s="32">
        <f>A20-A8</f>
        <v>391.9524</v>
      </c>
      <c r="B41" s="17">
        <f>B7</f>
        <v>107.89920000000001</v>
      </c>
      <c r="C41" s="19" t="s">
        <v>249</v>
      </c>
      <c r="D41" s="19" t="s">
        <v>246</v>
      </c>
      <c r="E41" s="86">
        <v>0.6944444444444445</v>
      </c>
      <c r="F41" s="86">
        <v>0.7395833333333334</v>
      </c>
      <c r="G41"/>
      <c r="H41" s="86">
        <v>0.7013888888888888</v>
      </c>
      <c r="I41" s="86">
        <v>0.7013888888888888</v>
      </c>
      <c r="J41" s="19"/>
      <c r="K41"/>
      <c r="L41"/>
      <c r="M41"/>
      <c r="N41"/>
      <c r="O41"/>
      <c r="P41"/>
    </row>
    <row r="42" spans="1:16" ht="12.75">
      <c r="A42" s="32">
        <f>A20-A7</f>
        <v>391.9524</v>
      </c>
      <c r="B42" s="17">
        <f>B41</f>
        <v>107.89920000000001</v>
      </c>
      <c r="C42" s="19" t="s">
        <v>249</v>
      </c>
      <c r="D42" s="19" t="s">
        <v>241</v>
      </c>
      <c r="E42" s="86">
        <v>0.7048611111111112</v>
      </c>
      <c r="F42"/>
      <c r="G42"/>
      <c r="H42" s="86">
        <v>0.7013888888888888</v>
      </c>
      <c r="I42" s="86">
        <v>0.7013888888888888</v>
      </c>
      <c r="J42" s="19"/>
      <c r="K42"/>
      <c r="L42"/>
      <c r="M42"/>
      <c r="N42"/>
      <c r="O42"/>
      <c r="P42"/>
    </row>
    <row r="43" spans="1:16" ht="12.75">
      <c r="A43" s="32">
        <f>A20-A6</f>
        <v>499.5945</v>
      </c>
      <c r="B43" s="17">
        <f>B6</f>
        <v>103.3272</v>
      </c>
      <c r="C43" s="19" t="s">
        <v>248</v>
      </c>
      <c r="D43" s="19"/>
      <c r="E43" s="86">
        <v>0.7604166666666666</v>
      </c>
      <c r="F43"/>
      <c r="G43"/>
      <c r="H43" s="86">
        <v>0.7673611111111112</v>
      </c>
      <c r="I43" s="86">
        <v>0.7673611111111112</v>
      </c>
      <c r="J43" s="19"/>
      <c r="K43"/>
      <c r="L43"/>
      <c r="M43"/>
      <c r="N43"/>
      <c r="O43"/>
      <c r="P43"/>
    </row>
    <row r="44" spans="1:16" ht="12.75">
      <c r="A44" s="32">
        <f>A20-A5</f>
        <v>572.804</v>
      </c>
      <c r="B44" s="17">
        <f>B5</f>
        <v>11.5824</v>
      </c>
      <c r="C44" s="19" t="s">
        <v>245</v>
      </c>
      <c r="D44" s="19" t="s">
        <v>246</v>
      </c>
      <c r="E44" s="86">
        <v>0.8333333333333334</v>
      </c>
      <c r="F44"/>
      <c r="G44"/>
      <c r="H44" s="86">
        <v>0.8333333333333334</v>
      </c>
      <c r="I44" s="86">
        <v>0.8333333333333334</v>
      </c>
      <c r="J44" s="19"/>
      <c r="K44"/>
      <c r="L44"/>
      <c r="M44"/>
      <c r="N44"/>
      <c r="O44"/>
      <c r="P44"/>
    </row>
    <row r="45" spans="2:15" ht="12.75">
      <c r="B45"/>
      <c r="C45" s="16" t="s">
        <v>445</v>
      </c>
      <c r="D45" s="19"/>
      <c r="E45" s="19"/>
      <c r="F45" s="19"/>
      <c r="G45" s="19"/>
      <c r="H45" s="19"/>
      <c r="I45" s="19"/>
      <c r="J45" s="19"/>
      <c r="K45" s="19"/>
      <c r="N45"/>
      <c r="O45"/>
    </row>
    <row r="46" spans="3:15" ht="12.75">
      <c r="C46" s="19" t="s">
        <v>290</v>
      </c>
      <c r="D46" s="19"/>
      <c r="E46" s="19"/>
      <c r="F46" s="19"/>
      <c r="G46" s="19"/>
      <c r="H46" s="19"/>
      <c r="I46" s="19"/>
      <c r="J46" s="19"/>
      <c r="K46" s="19"/>
      <c r="N46"/>
      <c r="O46"/>
    </row>
    <row r="47" spans="1:256" ht="12.75">
      <c r="A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15" ht="12.75">
      <c r="C48" s="19"/>
      <c r="D48" s="19"/>
      <c r="E48" s="19"/>
      <c r="F48" s="19"/>
      <c r="G48" s="19"/>
      <c r="H48" s="21"/>
      <c r="I48" s="19"/>
      <c r="J48" s="19"/>
      <c r="K48" s="19"/>
      <c r="N48"/>
      <c r="O48"/>
    </row>
    <row r="49" spans="3:13" ht="15">
      <c r="C49" s="75" t="s">
        <v>447</v>
      </c>
      <c r="D49" s="19"/>
      <c r="E49" s="19"/>
      <c r="F49" s="19"/>
      <c r="G49" s="19"/>
      <c r="H49" s="19"/>
      <c r="I49" s="19"/>
      <c r="J49" s="19"/>
      <c r="K49" s="19"/>
      <c r="L49" s="19"/>
      <c r="M49" s="19"/>
    </row>
    <row r="50" spans="3:13" ht="12.75">
      <c r="C50" t="s">
        <v>448</v>
      </c>
      <c r="D50" s="19"/>
      <c r="E50" s="19"/>
      <c r="F50" s="19"/>
      <c r="G50" s="19"/>
      <c r="H50" s="19"/>
      <c r="I50" s="19"/>
      <c r="J50" s="19"/>
      <c r="K50" s="19"/>
      <c r="L50" s="19"/>
      <c r="M50" s="19"/>
    </row>
    <row r="51" spans="3:13" ht="12.75">
      <c r="C51" t="s">
        <v>449</v>
      </c>
      <c r="D51" s="19"/>
      <c r="E51" s="19"/>
      <c r="F51" s="19"/>
      <c r="G51" s="19"/>
      <c r="H51" s="19"/>
      <c r="I51" s="19"/>
      <c r="J51" s="19"/>
      <c r="K51" s="19"/>
      <c r="L51" s="19"/>
      <c r="M51" s="19"/>
    </row>
    <row r="52" spans="4:13" ht="12.75">
      <c r="D52" s="19"/>
      <c r="E52" s="21"/>
      <c r="F52" s="21"/>
      <c r="G52" s="21"/>
      <c r="H52" s="21"/>
      <c r="I52" s="19"/>
      <c r="J52" s="19"/>
      <c r="K52" s="19"/>
      <c r="L52" s="19"/>
      <c r="M52" s="19"/>
    </row>
    <row r="53" spans="3:13" ht="12.75">
      <c r="C53" s="16" t="s">
        <v>450</v>
      </c>
      <c r="D53" s="19"/>
      <c r="E53" s="21"/>
      <c r="F53" s="21"/>
      <c r="G53" s="21"/>
      <c r="H53" s="21"/>
      <c r="I53" s="19"/>
      <c r="J53" s="19"/>
      <c r="K53" s="19"/>
      <c r="L53" s="19"/>
      <c r="M53" s="19"/>
    </row>
    <row r="54" spans="4:13" ht="12.75">
      <c r="D54" s="19"/>
      <c r="E54" s="21"/>
      <c r="F54" s="21"/>
      <c r="G54" s="21"/>
      <c r="H54" s="21"/>
      <c r="I54" s="19"/>
      <c r="J54" s="19"/>
      <c r="K54" s="19"/>
      <c r="L54" s="19"/>
      <c r="M54" s="19"/>
    </row>
    <row r="55" spans="3:13" ht="12.75">
      <c r="C55" s="76" t="s">
        <v>451</v>
      </c>
      <c r="D55" s="19"/>
      <c r="E55" s="21"/>
      <c r="F55" s="21"/>
      <c r="G55" s="21"/>
      <c r="H55" s="21"/>
      <c r="I55" s="19"/>
      <c r="J55" s="19"/>
      <c r="K55" s="19"/>
      <c r="L55" s="19"/>
      <c r="M55" s="19"/>
    </row>
    <row r="56" spans="3:13" ht="12.75">
      <c r="C56" s="19" t="s">
        <v>452</v>
      </c>
      <c r="D56" s="19"/>
      <c r="E56" s="50"/>
      <c r="F56" s="21"/>
      <c r="G56" s="21"/>
      <c r="H56" s="21"/>
      <c r="I56" s="19"/>
      <c r="J56" s="19"/>
      <c r="K56" s="19"/>
      <c r="L56" s="19"/>
      <c r="M56" s="19"/>
    </row>
    <row r="57" spans="3:13" ht="12.75">
      <c r="C57" s="19" t="s">
        <v>453</v>
      </c>
      <c r="D57" s="19"/>
      <c r="E57" s="50"/>
      <c r="F57" s="21"/>
      <c r="G57" s="21"/>
      <c r="H57" s="21"/>
      <c r="I57" s="19"/>
      <c r="J57" s="19"/>
      <c r="K57" s="19"/>
      <c r="L57" s="19"/>
      <c r="M57" s="19"/>
    </row>
    <row r="58" spans="3:13" ht="12.75">
      <c r="C58" s="19" t="s">
        <v>454</v>
      </c>
      <c r="D58" s="19"/>
      <c r="E58" s="19"/>
      <c r="F58" s="21"/>
      <c r="G58" s="21"/>
      <c r="H58" s="21"/>
      <c r="I58" s="19"/>
      <c r="J58" s="19"/>
      <c r="K58" s="19"/>
      <c r="L58" s="19"/>
      <c r="M58" s="19"/>
    </row>
    <row r="59" spans="3:13" ht="12.75">
      <c r="C59" s="19"/>
      <c r="D59" s="19"/>
      <c r="E59" s="19"/>
      <c r="F59" s="19"/>
      <c r="G59" s="19"/>
      <c r="H59" s="19"/>
      <c r="I59" s="19"/>
      <c r="J59" s="19"/>
      <c r="K59" s="19"/>
      <c r="L59" s="19"/>
      <c r="M59" s="19"/>
    </row>
    <row r="60" spans="3:13" ht="12.75">
      <c r="C60" s="19"/>
      <c r="D60" s="19"/>
      <c r="E60" s="19"/>
      <c r="F60" s="19"/>
      <c r="G60" s="19"/>
      <c r="H60" s="19"/>
      <c r="I60" s="19"/>
      <c r="J60" s="19"/>
      <c r="K60" s="19"/>
      <c r="L60" s="19"/>
      <c r="M60" s="19"/>
    </row>
    <row r="61" spans="3:13" ht="12.75">
      <c r="C61" s="42" t="s">
        <v>237</v>
      </c>
      <c r="D61" s="19"/>
      <c r="E61" s="56"/>
      <c r="F61" s="56"/>
      <c r="G61" s="56"/>
      <c r="H61" s="56"/>
      <c r="I61" s="19"/>
      <c r="J61" s="19"/>
      <c r="K61" s="19"/>
      <c r="L61" s="19"/>
      <c r="M61" s="19"/>
    </row>
    <row r="62" spans="1:13" ht="12.75">
      <c r="A62" s="50" t="s">
        <v>2</v>
      </c>
      <c r="B62" s="36" t="s">
        <v>222</v>
      </c>
      <c r="C62" s="19"/>
      <c r="D62" s="19"/>
      <c r="E62" s="56" t="s">
        <v>80</v>
      </c>
      <c r="F62" s="56" t="s">
        <v>85</v>
      </c>
      <c r="G62" s="56" t="s">
        <v>85</v>
      </c>
      <c r="H62"/>
      <c r="I62" s="19"/>
      <c r="J62" s="19"/>
      <c r="K62"/>
      <c r="L62" s="19"/>
      <c r="M62" s="19"/>
    </row>
    <row r="63" spans="2:13" ht="12.75">
      <c r="B63"/>
      <c r="C63" s="19"/>
      <c r="D63" s="19"/>
      <c r="E63" s="56" t="s">
        <v>121</v>
      </c>
      <c r="F63" s="56" t="s">
        <v>161</v>
      </c>
      <c r="G63" s="56" t="s">
        <v>161</v>
      </c>
      <c r="H63"/>
      <c r="I63" s="19"/>
      <c r="J63" s="19"/>
      <c r="K63"/>
      <c r="L63" s="19"/>
      <c r="M63" s="19"/>
    </row>
    <row r="64" spans="1:13" ht="12.75">
      <c r="A64"/>
      <c r="B64"/>
      <c r="C64" s="19"/>
      <c r="D64" s="19"/>
      <c r="E64" s="57" t="s">
        <v>159</v>
      </c>
      <c r="F64" s="56" t="s">
        <v>162</v>
      </c>
      <c r="G64" s="56" t="s">
        <v>162</v>
      </c>
      <c r="H64"/>
      <c r="I64" s="19"/>
      <c r="J64" s="19"/>
      <c r="K64"/>
      <c r="L64" s="19"/>
      <c r="M64" s="19"/>
    </row>
    <row r="65" spans="1:13" ht="12.75">
      <c r="A65" s="32">
        <f>A95-A95</f>
        <v>0</v>
      </c>
      <c r="B65" s="17">
        <f>0.3048*38</f>
        <v>11.5824</v>
      </c>
      <c r="C65" s="19" t="s">
        <v>245</v>
      </c>
      <c r="D65" s="19" t="s">
        <v>241</v>
      </c>
      <c r="E65" s="86">
        <v>0.28125</v>
      </c>
      <c r="F65" s="86">
        <v>0.40625</v>
      </c>
      <c r="G65" s="19"/>
      <c r="H65"/>
      <c r="I65" s="19"/>
      <c r="J65" s="19"/>
      <c r="K65"/>
      <c r="L65" s="19"/>
      <c r="M65" s="19"/>
    </row>
    <row r="66" spans="1:13" ht="12.75">
      <c r="A66" s="34">
        <f>A95-A94</f>
        <v>64.03999999999999</v>
      </c>
      <c r="B66" s="17">
        <f>0.3048*40</f>
        <v>12.192</v>
      </c>
      <c r="C66" s="19" t="s">
        <v>244</v>
      </c>
      <c r="D66" s="19"/>
      <c r="E66" s="86">
        <v>0.3368055555555556</v>
      </c>
      <c r="F66" s="86">
        <v>0.4583333333333333</v>
      </c>
      <c r="G66" s="19" t="s">
        <v>470</v>
      </c>
      <c r="H66"/>
      <c r="I66" s="19"/>
      <c r="J66" s="19"/>
      <c r="K66"/>
      <c r="L66" s="19"/>
      <c r="M66" s="19"/>
    </row>
    <row r="67" spans="1:13" ht="12.75">
      <c r="A67" s="32">
        <f>A95-A93</f>
        <v>80.60999999999999</v>
      </c>
      <c r="B67" s="17">
        <f>0.3048*33</f>
        <v>10.0584</v>
      </c>
      <c r="C67" s="19" t="s">
        <v>270</v>
      </c>
      <c r="D67" s="19" t="s">
        <v>246</v>
      </c>
      <c r="E67" s="56" t="s">
        <v>251</v>
      </c>
      <c r="F67" s="86">
        <v>0.4861111111111111</v>
      </c>
      <c r="G67" s="86">
        <v>0.6944444444444445</v>
      </c>
      <c r="H67"/>
      <c r="I67" s="19"/>
      <c r="J67" s="19"/>
      <c r="K67"/>
      <c r="L67" s="19"/>
      <c r="M67" s="19"/>
    </row>
    <row r="68" spans="1:13" ht="12.75">
      <c r="A68" s="32">
        <f>A67</f>
        <v>80.60999999999999</v>
      </c>
      <c r="B68" s="17">
        <f>B67</f>
        <v>10.0584</v>
      </c>
      <c r="C68" s="19" t="s">
        <v>468</v>
      </c>
      <c r="D68" s="19" t="s">
        <v>241</v>
      </c>
      <c r="E68" s="56" t="s">
        <v>251</v>
      </c>
      <c r="F68" s="86">
        <v>0.4861111111111111</v>
      </c>
      <c r="G68" s="86">
        <v>0.71875</v>
      </c>
      <c r="H68"/>
      <c r="I68" s="19"/>
      <c r="J68" s="19"/>
      <c r="K68"/>
      <c r="L68" s="19"/>
      <c r="M68" s="19"/>
    </row>
    <row r="69" spans="1:13" ht="12.75">
      <c r="A69" s="32">
        <f>(12*1.609)+A68</f>
        <v>99.91799999999998</v>
      </c>
      <c r="B69" s="17">
        <f>0.3048*21</f>
        <v>6.4008</v>
      </c>
      <c r="C69" s="19" t="s">
        <v>269</v>
      </c>
      <c r="D69" s="19" t="s">
        <v>246</v>
      </c>
      <c r="E69" s="56" t="s">
        <v>251</v>
      </c>
      <c r="F69" s="86">
        <v>0.5034722222222222</v>
      </c>
      <c r="G69" s="86">
        <v>0.7291666666666666</v>
      </c>
      <c r="H69"/>
      <c r="I69" s="19"/>
      <c r="J69" s="19"/>
      <c r="K69"/>
      <c r="L69" s="19"/>
      <c r="M69" s="19"/>
    </row>
    <row r="70" spans="1:13" ht="12.75">
      <c r="A70" s="32">
        <v>0</v>
      </c>
      <c r="B70" s="17">
        <f>B69</f>
        <v>6.4008</v>
      </c>
      <c r="C70" s="19" t="s">
        <v>269</v>
      </c>
      <c r="D70" s="19" t="s">
        <v>241</v>
      </c>
      <c r="E70" s="56" t="s">
        <v>251</v>
      </c>
      <c r="F70" s="86">
        <v>0.53125</v>
      </c>
      <c r="G70" s="86">
        <v>0.78125</v>
      </c>
      <c r="H70"/>
      <c r="I70" s="19"/>
      <c r="J70" s="19"/>
      <c r="K70"/>
      <c r="L70" s="19"/>
      <c r="M70" s="19"/>
    </row>
    <row r="71" spans="1:13" ht="12.75">
      <c r="A71" s="32">
        <f>12*1.609</f>
        <v>19.308</v>
      </c>
      <c r="B71" s="17">
        <f>B68</f>
        <v>10.0584</v>
      </c>
      <c r="C71" s="19" t="s">
        <v>468</v>
      </c>
      <c r="D71" s="19" t="s">
        <v>246</v>
      </c>
      <c r="E71" s="56" t="s">
        <v>251</v>
      </c>
      <c r="F71" s="86">
        <v>0.5520833333333334</v>
      </c>
      <c r="G71" s="86">
        <v>0.8020833333333334</v>
      </c>
      <c r="H71"/>
      <c r="I71" s="19"/>
      <c r="J71" s="19"/>
      <c r="K71"/>
      <c r="L71" s="19"/>
      <c r="M71" s="19"/>
    </row>
    <row r="72" spans="1:13" ht="12.75">
      <c r="A72" s="32">
        <f>A95-A88</f>
        <v>80.60999999999999</v>
      </c>
      <c r="B72" s="17">
        <f>B71</f>
        <v>10.0584</v>
      </c>
      <c r="C72" s="19" t="s">
        <v>270</v>
      </c>
      <c r="D72" s="19" t="s">
        <v>241</v>
      </c>
      <c r="E72" s="56" t="s">
        <v>251</v>
      </c>
      <c r="F72" s="86">
        <v>0.5590277777777778</v>
      </c>
      <c r="G72" s="86">
        <v>0.8159722222222222</v>
      </c>
      <c r="H72"/>
      <c r="I72" s="19"/>
      <c r="J72" s="19"/>
      <c r="K72"/>
      <c r="L72" s="19"/>
      <c r="M72" s="19"/>
    </row>
    <row r="73" spans="1:13" ht="12.75">
      <c r="A73" s="32">
        <f>A95-A87</f>
        <v>94.11999999999999</v>
      </c>
      <c r="B73" s="78">
        <v>38.829</v>
      </c>
      <c r="C73" s="19" t="s">
        <v>455</v>
      </c>
      <c r="D73" s="19" t="s">
        <v>246</v>
      </c>
      <c r="E73" s="56" t="s">
        <v>251</v>
      </c>
      <c r="F73" s="86">
        <v>0.5729166666666666</v>
      </c>
      <c r="G73" s="86" t="s">
        <v>471</v>
      </c>
      <c r="H73"/>
      <c r="I73" s="19"/>
      <c r="J73" s="19"/>
      <c r="K73"/>
      <c r="L73" s="19"/>
      <c r="M73" s="19"/>
    </row>
    <row r="74" spans="1:13" ht="12.75">
      <c r="A74" s="32">
        <f>A95-A86</f>
        <v>94.11999999999999</v>
      </c>
      <c r="B74" s="48">
        <f>B73</f>
        <v>38.829</v>
      </c>
      <c r="C74" s="19" t="s">
        <v>455</v>
      </c>
      <c r="D74" s="19" t="s">
        <v>241</v>
      </c>
      <c r="E74" s="56" t="s">
        <v>251</v>
      </c>
      <c r="F74" s="86">
        <v>0.579861111111111</v>
      </c>
      <c r="G74" s="19"/>
      <c r="H74"/>
      <c r="I74" s="19"/>
      <c r="J74" s="19"/>
      <c r="K74"/>
      <c r="L74" s="19"/>
      <c r="M74" s="19"/>
    </row>
    <row r="75" spans="1:13" ht="12.75">
      <c r="A75" s="32">
        <f>A95-A85</f>
        <v>110.64999999999999</v>
      </c>
      <c r="B75" s="17">
        <f>0.3048*1063</f>
        <v>324.0024</v>
      </c>
      <c r="C75" s="19" t="s">
        <v>456</v>
      </c>
      <c r="D75" s="19" t="s">
        <v>246</v>
      </c>
      <c r="E75" s="56" t="s">
        <v>251</v>
      </c>
      <c r="F75" s="86">
        <v>0.638888888888889</v>
      </c>
      <c r="G75"/>
      <c r="H75" s="19"/>
      <c r="I75" s="19"/>
      <c r="J75" s="19"/>
      <c r="K75"/>
      <c r="L75" s="19"/>
      <c r="M75" s="19"/>
    </row>
    <row r="76" spans="1:13" ht="12.75">
      <c r="A76" s="32">
        <f>A95-A84</f>
        <v>178.23</v>
      </c>
      <c r="B76" s="17">
        <f>0.3048*20</f>
        <v>6.096</v>
      </c>
      <c r="C76" s="19" t="s">
        <v>219</v>
      </c>
      <c r="D76" s="19" t="s">
        <v>246</v>
      </c>
      <c r="E76" s="86">
        <v>0.4618055555555556</v>
      </c>
      <c r="F76" s="19"/>
      <c r="G76"/>
      <c r="H76" s="19"/>
      <c r="I76" s="19"/>
      <c r="J76" s="19"/>
      <c r="K76"/>
      <c r="L76" s="19"/>
      <c r="M76" s="19"/>
    </row>
    <row r="77" spans="3:13" ht="12.75">
      <c r="C77" s="19" t="s">
        <v>457</v>
      </c>
      <c r="D77" s="19"/>
      <c r="E77" s="19"/>
      <c r="F77" s="19"/>
      <c r="G77" s="19"/>
      <c r="H77" s="19"/>
      <c r="I77" s="19"/>
      <c r="J77" s="19"/>
      <c r="K77"/>
      <c r="L77" s="19"/>
      <c r="M77" s="19"/>
    </row>
    <row r="78" spans="1:13" ht="12.75">
      <c r="A78"/>
      <c r="C78" s="19" t="s">
        <v>458</v>
      </c>
      <c r="D78" s="19"/>
      <c r="E78" s="86"/>
      <c r="F78" s="12"/>
      <c r="G78" s="19"/>
      <c r="H78" s="19"/>
      <c r="I78" s="12"/>
      <c r="J78" s="19"/>
      <c r="K78"/>
      <c r="L78" s="19"/>
      <c r="M78" s="19"/>
    </row>
    <row r="79" spans="1:13" ht="12.75">
      <c r="A79"/>
      <c r="C79" s="19"/>
      <c r="D79" s="19"/>
      <c r="E79" s="19"/>
      <c r="F79" s="19"/>
      <c r="G79" s="19"/>
      <c r="H79" s="19"/>
      <c r="I79" s="19"/>
      <c r="J79" s="19"/>
      <c r="K79"/>
      <c r="L79" s="19"/>
      <c r="M79" s="19"/>
    </row>
    <row r="80" spans="1:13" ht="12.75">
      <c r="A80"/>
      <c r="C80" s="42" t="s">
        <v>223</v>
      </c>
      <c r="D80" s="19"/>
      <c r="E80" s="56"/>
      <c r="F80" s="56"/>
      <c r="G80" s="56"/>
      <c r="H80" s="56"/>
      <c r="I80" s="56"/>
      <c r="J80" s="21"/>
      <c r="K80"/>
      <c r="L80" s="19"/>
      <c r="M80" s="19"/>
    </row>
    <row r="81" spans="1:13" ht="12.75">
      <c r="A81" s="50" t="s">
        <v>2</v>
      </c>
      <c r="B81" s="36" t="s">
        <v>222</v>
      </c>
      <c r="C81" s="19"/>
      <c r="D81" s="19"/>
      <c r="E81" s="56" t="s">
        <v>85</v>
      </c>
      <c r="F81" s="56" t="s">
        <v>85</v>
      </c>
      <c r="G81" s="56" t="s">
        <v>472</v>
      </c>
      <c r="H81" s="56" t="s">
        <v>80</v>
      </c>
      <c r="I81"/>
      <c r="J81" s="19"/>
      <c r="K81"/>
      <c r="L81" s="19"/>
      <c r="M81" s="19"/>
    </row>
    <row r="82" spans="3:13" ht="12.75">
      <c r="C82" s="19"/>
      <c r="D82" s="19"/>
      <c r="E82" s="56" t="s">
        <v>161</v>
      </c>
      <c r="F82" s="56" t="s">
        <v>161</v>
      </c>
      <c r="G82" s="56" t="s">
        <v>161</v>
      </c>
      <c r="H82" s="56" t="s">
        <v>121</v>
      </c>
      <c r="I82"/>
      <c r="J82" s="19"/>
      <c r="K82"/>
      <c r="L82" s="19"/>
      <c r="M82" s="19"/>
    </row>
    <row r="83" spans="1:13" ht="12.75">
      <c r="A83"/>
      <c r="C83" s="19"/>
      <c r="D83" s="19"/>
      <c r="E83" s="56" t="s">
        <v>162</v>
      </c>
      <c r="F83" s="56" t="s">
        <v>162</v>
      </c>
      <c r="G83" s="56"/>
      <c r="H83" s="15" t="s">
        <v>159</v>
      </c>
      <c r="I83"/>
      <c r="J83" s="19"/>
      <c r="K83"/>
      <c r="L83" s="19"/>
      <c r="M83" s="19"/>
    </row>
    <row r="84" spans="1:13" ht="12.75">
      <c r="A84">
        <v>0</v>
      </c>
      <c r="B84" s="44">
        <f>B76</f>
        <v>6.096</v>
      </c>
      <c r="C84" s="19" t="s">
        <v>219</v>
      </c>
      <c r="D84" s="19" t="s">
        <v>241</v>
      </c>
      <c r="E84" s="19"/>
      <c r="F84" s="19"/>
      <c r="G84" s="19"/>
      <c r="H84" s="86">
        <v>0.75</v>
      </c>
      <c r="I84"/>
      <c r="J84" s="19"/>
      <c r="K84"/>
      <c r="L84" s="19"/>
      <c r="M84" s="19"/>
    </row>
    <row r="85" spans="1:13" ht="12.75">
      <c r="A85" s="18">
        <v>67.58</v>
      </c>
      <c r="B85" s="32">
        <f>B75</f>
        <v>324.0024</v>
      </c>
      <c r="C85" s="19" t="s">
        <v>456</v>
      </c>
      <c r="D85" s="19"/>
      <c r="E85" s="19"/>
      <c r="F85" s="86">
        <v>0.6458333333333334</v>
      </c>
      <c r="G85" s="19"/>
      <c r="H85" s="56" t="s">
        <v>251</v>
      </c>
      <c r="I85"/>
      <c r="J85" s="19"/>
      <c r="K85"/>
      <c r="L85" s="19"/>
      <c r="M85" s="19"/>
    </row>
    <row r="86" spans="1:13" ht="12.75">
      <c r="A86" s="18">
        <v>84.11</v>
      </c>
      <c r="B86" s="79">
        <f>B74</f>
        <v>38.829</v>
      </c>
      <c r="C86" s="19" t="s">
        <v>455</v>
      </c>
      <c r="D86" s="19" t="s">
        <v>246</v>
      </c>
      <c r="E86" s="19"/>
      <c r="F86" s="86">
        <v>0.6875</v>
      </c>
      <c r="G86" s="19"/>
      <c r="H86" s="56" t="s">
        <v>251</v>
      </c>
      <c r="I86"/>
      <c r="J86" s="19"/>
      <c r="K86"/>
      <c r="L86" s="19"/>
      <c r="M86" s="19"/>
    </row>
    <row r="87" spans="1:13" ht="12.75">
      <c r="A87" s="18">
        <v>84.11</v>
      </c>
      <c r="B87" s="48">
        <f>B86</f>
        <v>38.829</v>
      </c>
      <c r="C87" s="19" t="s">
        <v>455</v>
      </c>
      <c r="D87" s="19" t="s">
        <v>241</v>
      </c>
      <c r="E87" s="86" t="s">
        <v>473</v>
      </c>
      <c r="F87" s="86">
        <v>0.6944444444444445</v>
      </c>
      <c r="G87" s="19"/>
      <c r="H87" s="56" t="s">
        <v>251</v>
      </c>
      <c r="I87"/>
      <c r="J87" s="19"/>
      <c r="K87"/>
      <c r="M87" s="19"/>
    </row>
    <row r="88" spans="1:13" ht="12.75">
      <c r="A88" s="18">
        <v>97.62</v>
      </c>
      <c r="B88" s="17">
        <f>B89</f>
        <v>10.0584</v>
      </c>
      <c r="C88" s="19" t="s">
        <v>270</v>
      </c>
      <c r="D88" s="19" t="s">
        <v>246</v>
      </c>
      <c r="E88" s="86">
        <v>0.4861111111111111</v>
      </c>
      <c r="F88" s="86">
        <v>0.71875</v>
      </c>
      <c r="G88" s="19"/>
      <c r="H88" s="56" t="s">
        <v>251</v>
      </c>
      <c r="I88"/>
      <c r="J88" s="19"/>
      <c r="K88"/>
      <c r="L88" s="19"/>
      <c r="M88" s="19"/>
    </row>
    <row r="89" spans="1:13" ht="12.75">
      <c r="A89" s="18">
        <v>97.62</v>
      </c>
      <c r="B89" s="17">
        <f>B92</f>
        <v>10.0584</v>
      </c>
      <c r="C89" s="19" t="s">
        <v>468</v>
      </c>
      <c r="D89" s="19" t="s">
        <v>241</v>
      </c>
      <c r="E89" s="86">
        <v>0.4861111111111111</v>
      </c>
      <c r="F89" s="86">
        <v>0.71875</v>
      </c>
      <c r="G89" s="87">
        <v>0.7222222222222222</v>
      </c>
      <c r="H89" s="56" t="s">
        <v>251</v>
      </c>
      <c r="I89"/>
      <c r="J89" s="19"/>
      <c r="K89"/>
      <c r="L89" s="19"/>
      <c r="M89" s="19"/>
    </row>
    <row r="90" spans="1:13" ht="12.75">
      <c r="A90">
        <v>117</v>
      </c>
      <c r="B90" s="17">
        <f>B91</f>
        <v>6.4008</v>
      </c>
      <c r="C90" s="19" t="s">
        <v>269</v>
      </c>
      <c r="D90" s="19" t="s">
        <v>246</v>
      </c>
      <c r="E90" s="86">
        <v>0.5034722222222222</v>
      </c>
      <c r="F90" s="86">
        <v>0.7291666666666666</v>
      </c>
      <c r="G90" s="56" t="s">
        <v>251</v>
      </c>
      <c r="H90" s="56" t="s">
        <v>251</v>
      </c>
      <c r="I90"/>
      <c r="J90" s="19"/>
      <c r="K90"/>
      <c r="L90" s="19"/>
      <c r="M90" s="19"/>
    </row>
    <row r="91" spans="1:13" ht="12.75">
      <c r="A91">
        <v>0</v>
      </c>
      <c r="B91" s="17">
        <f>B69</f>
        <v>6.4008</v>
      </c>
      <c r="C91" s="19" t="s">
        <v>269</v>
      </c>
      <c r="D91" s="19" t="s">
        <v>241</v>
      </c>
      <c r="E91" s="86">
        <v>0.53125</v>
      </c>
      <c r="F91" s="86">
        <v>0.78125</v>
      </c>
      <c r="G91" s="56" t="s">
        <v>251</v>
      </c>
      <c r="H91" s="56" t="s">
        <v>251</v>
      </c>
      <c r="I91"/>
      <c r="J91" s="19"/>
      <c r="K91"/>
      <c r="L91" s="19"/>
      <c r="M91" s="19"/>
    </row>
    <row r="92" spans="1:13" ht="12.75">
      <c r="A92" s="18">
        <f>A71</f>
        <v>19.308</v>
      </c>
      <c r="B92" s="17">
        <f>B93</f>
        <v>10.0584</v>
      </c>
      <c r="C92" s="19" t="s">
        <v>468</v>
      </c>
      <c r="D92" s="19" t="s">
        <v>246</v>
      </c>
      <c r="E92" s="86">
        <v>0.5520833333333334</v>
      </c>
      <c r="F92" s="86">
        <v>0.8020833333333334</v>
      </c>
      <c r="G92" s="56" t="s">
        <v>251</v>
      </c>
      <c r="H92" s="56" t="s">
        <v>251</v>
      </c>
      <c r="I92"/>
      <c r="J92" s="19"/>
      <c r="K92"/>
      <c r="L92" s="19"/>
      <c r="M92" s="19"/>
    </row>
    <row r="93" spans="1:13" ht="12.75">
      <c r="A93" s="18">
        <v>97.62</v>
      </c>
      <c r="B93" s="17">
        <f>B67</f>
        <v>10.0584</v>
      </c>
      <c r="C93" s="19" t="s">
        <v>270</v>
      </c>
      <c r="D93" s="19" t="s">
        <v>241</v>
      </c>
      <c r="E93" s="86">
        <v>0.5590277777777778</v>
      </c>
      <c r="F93" s="86">
        <v>0.8055555555555555</v>
      </c>
      <c r="G93" s="56" t="s">
        <v>251</v>
      </c>
      <c r="H93" s="56" t="s">
        <v>251</v>
      </c>
      <c r="I93"/>
      <c r="J93" s="19"/>
      <c r="K93"/>
      <c r="L93" s="19"/>
      <c r="M93" s="19"/>
    </row>
    <row r="94" spans="1:13" ht="12.75">
      <c r="A94" s="18">
        <v>114.19</v>
      </c>
      <c r="B94" s="17">
        <f>B66</f>
        <v>12.192</v>
      </c>
      <c r="C94" s="19" t="s">
        <v>244</v>
      </c>
      <c r="D94" s="19"/>
      <c r="E94" s="19" t="s">
        <v>190</v>
      </c>
      <c r="F94" s="86">
        <v>0.8159722222222222</v>
      </c>
      <c r="G94" s="56" t="s">
        <v>251</v>
      </c>
      <c r="H94" s="86">
        <v>0.8715277777777778</v>
      </c>
      <c r="I94"/>
      <c r="J94" s="19"/>
      <c r="K94"/>
      <c r="L94" s="19"/>
      <c r="M94" s="19"/>
    </row>
    <row r="95" spans="1:13" ht="12.75">
      <c r="A95" s="18">
        <v>178.23</v>
      </c>
      <c r="B95" s="17">
        <f>B65</f>
        <v>11.5824</v>
      </c>
      <c r="C95" s="19" t="s">
        <v>245</v>
      </c>
      <c r="D95" s="19" t="s">
        <v>246</v>
      </c>
      <c r="E95" s="19"/>
      <c r="F95" s="86">
        <v>0.8854166666666666</v>
      </c>
      <c r="G95" s="87">
        <v>0.78125</v>
      </c>
      <c r="H95" s="86">
        <v>0.9270833333333334</v>
      </c>
      <c r="I95"/>
      <c r="J95" s="19"/>
      <c r="K95"/>
      <c r="L95" s="19"/>
      <c r="M95" s="19"/>
    </row>
    <row r="96" spans="1:13" ht="12.75">
      <c r="A96"/>
      <c r="C96" s="19" t="s">
        <v>457</v>
      </c>
      <c r="D96" s="19"/>
      <c r="E96" s="19"/>
      <c r="F96" s="19"/>
      <c r="G96" s="19"/>
      <c r="H96" s="19"/>
      <c r="I96" s="19"/>
      <c r="J96" s="19"/>
      <c r="K96"/>
      <c r="L96" s="19"/>
      <c r="M96" s="19"/>
    </row>
    <row r="97" spans="1:13" ht="12.75">
      <c r="A97"/>
      <c r="C97" s="19" t="s">
        <v>458</v>
      </c>
      <c r="D97" s="19"/>
      <c r="E97" s="19"/>
      <c r="F97" s="19"/>
      <c r="G97" s="19"/>
      <c r="H97" s="19"/>
      <c r="I97" s="19"/>
      <c r="J97" s="19"/>
      <c r="K97" s="19"/>
      <c r="L97" s="19"/>
      <c r="M97" s="19"/>
    </row>
    <row r="98" spans="3:13" ht="12.75">
      <c r="C98" s="19"/>
      <c r="D98" s="19"/>
      <c r="E98" s="19"/>
      <c r="F98" s="19"/>
      <c r="G98" s="19"/>
      <c r="H98" s="19"/>
      <c r="I98" s="19"/>
      <c r="J98" s="19"/>
      <c r="K98" s="19"/>
      <c r="L98" s="19"/>
      <c r="M98" s="19"/>
    </row>
    <row r="99" spans="3:13" ht="12.75">
      <c r="C99" s="19"/>
      <c r="D99" s="19"/>
      <c r="E99" s="19"/>
      <c r="F99" s="19"/>
      <c r="G99" s="19"/>
      <c r="H99" s="19"/>
      <c r="I99" s="19"/>
      <c r="J99" s="19"/>
      <c r="K99" s="19"/>
      <c r="L99" s="19"/>
      <c r="M99" s="19"/>
    </row>
    <row r="100" spans="1:256" ht="12.75">
      <c r="A100" s="3" t="s">
        <v>474</v>
      </c>
      <c r="B100"/>
      <c r="C100" s="35" t="s">
        <v>221</v>
      </c>
      <c r="D100"/>
      <c r="E100" s="36" t="s">
        <v>475</v>
      </c>
      <c r="F100" s="36" t="s">
        <v>116</v>
      </c>
      <c r="G100" s="36" t="s">
        <v>120</v>
      </c>
      <c r="H100" s="36" t="s">
        <v>125</v>
      </c>
      <c r="I100" s="36" t="s">
        <v>130</v>
      </c>
      <c r="J100" s="36" t="s">
        <v>120</v>
      </c>
      <c r="K100" s="36" t="s">
        <v>475</v>
      </c>
      <c r="L100" s="36" t="s">
        <v>125</v>
      </c>
      <c r="M100" s="36" t="s">
        <v>125</v>
      </c>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2.75">
      <c r="A101"/>
      <c r="B101"/>
      <c r="C101" s="35" t="s">
        <v>223</v>
      </c>
      <c r="D101"/>
      <c r="E101"/>
      <c r="F101">
        <v>1</v>
      </c>
      <c r="G101">
        <v>21</v>
      </c>
      <c r="H101">
        <v>31</v>
      </c>
      <c r="I101" t="s">
        <v>129</v>
      </c>
      <c r="J101">
        <v>23</v>
      </c>
      <c r="K101"/>
      <c r="L101">
        <v>41</v>
      </c>
      <c r="M101">
        <v>51</v>
      </c>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3.25">
      <c r="A102" s="36" t="s">
        <v>2</v>
      </c>
      <c r="B102" s="36" t="s">
        <v>222</v>
      </c>
      <c r="C102"/>
      <c r="D102"/>
      <c r="E102" s="38" t="s">
        <v>153</v>
      </c>
      <c r="F102" s="38" t="s">
        <v>476</v>
      </c>
      <c r="G102" s="38" t="s">
        <v>154</v>
      </c>
      <c r="H102" s="38" t="s">
        <v>156</v>
      </c>
      <c r="I102" s="38" t="s">
        <v>158</v>
      </c>
      <c r="J102" s="38" t="s">
        <v>155</v>
      </c>
      <c r="K102" s="38" t="s">
        <v>154</v>
      </c>
      <c r="L102" s="38" t="s">
        <v>156</v>
      </c>
      <c r="M102" s="38" t="s">
        <v>157</v>
      </c>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2.75">
      <c r="A103" s="36"/>
      <c r="B103"/>
      <c r="C103"/>
      <c r="D103"/>
      <c r="E103" s="81"/>
      <c r="F103" s="81"/>
      <c r="G103" s="81" t="s">
        <v>86</v>
      </c>
      <c r="H103" s="81" t="s">
        <v>86</v>
      </c>
      <c r="I103" s="81"/>
      <c r="J103" s="81" t="s">
        <v>86</v>
      </c>
      <c r="K103" s="81"/>
      <c r="L103" s="81" t="s">
        <v>86</v>
      </c>
      <c r="M103" s="81" t="s">
        <v>86</v>
      </c>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2.75">
      <c r="A104" s="18">
        <v>0</v>
      </c>
      <c r="B104" s="18">
        <v>0</v>
      </c>
      <c r="C104" t="s">
        <v>477</v>
      </c>
      <c r="D104" t="s">
        <v>241</v>
      </c>
      <c r="E104" s="88">
        <v>0.3125</v>
      </c>
      <c r="F104" s="40">
        <v>0.3125</v>
      </c>
      <c r="G104" s="37">
        <v>0.3333333333333333</v>
      </c>
      <c r="H104" s="37">
        <v>0.3444444444444445</v>
      </c>
      <c r="I104" s="37">
        <v>0.5</v>
      </c>
      <c r="J104" s="37">
        <v>0.5208333333333334</v>
      </c>
      <c r="K104" s="88">
        <v>0.5833333333333334</v>
      </c>
      <c r="L104" s="37">
        <v>0.5263888888888889</v>
      </c>
      <c r="M104" s="37">
        <v>0.6875</v>
      </c>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2.75">
      <c r="A105" s="18">
        <v>2.73</v>
      </c>
      <c r="B105" s="18">
        <v>0</v>
      </c>
      <c r="C105" t="s">
        <v>227</v>
      </c>
      <c r="D105"/>
      <c r="E105" s="59" t="s">
        <v>251</v>
      </c>
      <c r="F105" s="37">
        <v>0.3229166666666667</v>
      </c>
      <c r="G105" s="59" t="s">
        <v>251</v>
      </c>
      <c r="H105" s="59" t="s">
        <v>251</v>
      </c>
      <c r="I105" s="59" t="s">
        <v>251</v>
      </c>
      <c r="J105" s="59" t="s">
        <v>251</v>
      </c>
      <c r="K105" s="59" t="s">
        <v>251</v>
      </c>
      <c r="L105" s="59" t="s">
        <v>251</v>
      </c>
      <c r="M105" s="59" t="s">
        <v>251</v>
      </c>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2.75">
      <c r="A106" s="18">
        <v>8.53</v>
      </c>
      <c r="B106" s="18">
        <f>0.3048*402</f>
        <v>122.5296</v>
      </c>
      <c r="C106" t="s">
        <v>478</v>
      </c>
      <c r="D106"/>
      <c r="E106" s="59" t="s">
        <v>251</v>
      </c>
      <c r="F106" s="59" t="s">
        <v>251</v>
      </c>
      <c r="G106" s="37">
        <v>0.34722222222222227</v>
      </c>
      <c r="H106" s="59" t="s">
        <v>251</v>
      </c>
      <c r="I106" s="59" t="s">
        <v>251</v>
      </c>
      <c r="J106" s="37">
        <v>0.5347222222222222</v>
      </c>
      <c r="K106" s="59" t="s">
        <v>251</v>
      </c>
      <c r="L106" s="59" t="s">
        <v>251</v>
      </c>
      <c r="M106" s="59" t="s">
        <v>251</v>
      </c>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12.75">
      <c r="A107" s="18">
        <v>12.73</v>
      </c>
      <c r="B107" s="18">
        <f>0.3048*849</f>
        <v>258.77520000000004</v>
      </c>
      <c r="C107" t="s">
        <v>285</v>
      </c>
      <c r="D107"/>
      <c r="E107" s="59" t="s">
        <v>251</v>
      </c>
      <c r="F107" s="37">
        <v>0.3368055555555556</v>
      </c>
      <c r="G107" s="37">
        <v>0.3541666666666667</v>
      </c>
      <c r="H107" s="37">
        <v>0.3659722222222222</v>
      </c>
      <c r="I107" s="37">
        <f>J107-1/48</f>
        <v>0.5208333333333333</v>
      </c>
      <c r="J107" s="37">
        <v>0.5416666666666666</v>
      </c>
      <c r="K107" s="59" t="s">
        <v>251</v>
      </c>
      <c r="L107" s="37">
        <v>0.5479166666666667</v>
      </c>
      <c r="M107" s="37">
        <v>0.7090277777777777</v>
      </c>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12.75">
      <c r="A108" s="18">
        <v>21.73</v>
      </c>
      <c r="B108" s="18">
        <f>0.3048*1871</f>
        <v>570.2808</v>
      </c>
      <c r="C108" t="s">
        <v>287</v>
      </c>
      <c r="D108"/>
      <c r="E108" s="59" t="s">
        <v>251</v>
      </c>
      <c r="F108" s="37">
        <v>0.3513888888888889</v>
      </c>
      <c r="G108" s="37">
        <v>0.36875</v>
      </c>
      <c r="H108" s="37">
        <v>0.38055555555555554</v>
      </c>
      <c r="I108" s="37">
        <f>J108-1/48</f>
        <v>0.5354166666666667</v>
      </c>
      <c r="J108" s="37">
        <v>0.55625</v>
      </c>
      <c r="K108" s="59" t="s">
        <v>251</v>
      </c>
      <c r="L108" s="37">
        <v>0.5625</v>
      </c>
      <c r="M108" s="37">
        <v>0.7236111111111111</v>
      </c>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12.75">
      <c r="A109" s="18">
        <v>31.83</v>
      </c>
      <c r="B109" s="18">
        <f>0.3048*2885</f>
        <v>879.3480000000001</v>
      </c>
      <c r="C109" t="s">
        <v>479</v>
      </c>
      <c r="D109" t="s">
        <v>246</v>
      </c>
      <c r="E109" s="59" t="s">
        <v>251</v>
      </c>
      <c r="F109" s="37">
        <v>0.36875</v>
      </c>
      <c r="G109" s="37">
        <v>0.3861111111111111</v>
      </c>
      <c r="H109" s="37">
        <v>0.3979166666666667</v>
      </c>
      <c r="I109" s="37">
        <v>0.5527777777777778</v>
      </c>
      <c r="J109" s="37">
        <v>0.5736111111111112</v>
      </c>
      <c r="K109" s="59" t="s">
        <v>251</v>
      </c>
      <c r="L109" s="37">
        <v>0.579861111111111</v>
      </c>
      <c r="M109" s="37">
        <v>0.7409722222222223</v>
      </c>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12.75">
      <c r="A110" s="18">
        <v>31.83</v>
      </c>
      <c r="B110" s="18">
        <f>0.3048*2885</f>
        <v>879.3480000000001</v>
      </c>
      <c r="C110" t="s">
        <v>480</v>
      </c>
      <c r="D110" t="s">
        <v>241</v>
      </c>
      <c r="E110" s="59" t="s">
        <v>251</v>
      </c>
      <c r="F110" s="37">
        <v>0.4125</v>
      </c>
      <c r="G110" s="37">
        <v>0.4298611111111111</v>
      </c>
      <c r="H110" s="82"/>
      <c r="I110" s="37">
        <v>0.5965277777777778</v>
      </c>
      <c r="J110" s="37">
        <v>0.6173611111111111</v>
      </c>
      <c r="K110" s="59" t="s">
        <v>251</v>
      </c>
      <c r="L110" s="82"/>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12.75">
      <c r="A111" s="18">
        <v>43.63</v>
      </c>
      <c r="B111" s="18">
        <f>0.3048*2767</f>
        <v>843.3816</v>
      </c>
      <c r="C111" t="s">
        <v>120</v>
      </c>
      <c r="D111" t="s">
        <v>246</v>
      </c>
      <c r="E111" s="82">
        <v>0.3958333333333333</v>
      </c>
      <c r="F111" s="37">
        <v>0.4236111111111111</v>
      </c>
      <c r="G111" s="37">
        <v>0.4444444444444444</v>
      </c>
      <c r="H111" s="82"/>
      <c r="I111" s="37">
        <v>0.611111111111111</v>
      </c>
      <c r="J111" s="37">
        <v>0.6319444444444444</v>
      </c>
      <c r="K111" s="82">
        <v>0.6666666666666666</v>
      </c>
      <c r="L111" s="82"/>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2.75">
      <c r="A112" s="18">
        <v>43.63</v>
      </c>
      <c r="B112" s="18">
        <f>0.3048*2767</f>
        <v>843.3816</v>
      </c>
      <c r="C112" t="s">
        <v>120</v>
      </c>
      <c r="D112" t="s">
        <v>241</v>
      </c>
      <c r="E112" s="82">
        <v>0.3958333333333333</v>
      </c>
      <c r="F112" s="37">
        <v>0.4375</v>
      </c>
      <c r="G112"/>
      <c r="H112"/>
      <c r="I112"/>
      <c r="J112" s="82">
        <v>0.6666666666666666</v>
      </c>
      <c r="K112" s="82">
        <v>0.6666666666666666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 r="A113" s="18">
        <v>52.13</v>
      </c>
      <c r="B113" s="18">
        <f>0.3048*2916</f>
        <v>888.7968000000001</v>
      </c>
      <c r="C113" t="s">
        <v>229</v>
      </c>
      <c r="D113"/>
      <c r="E113" s="59" t="s">
        <v>251</v>
      </c>
      <c r="F113" s="37">
        <v>0.45069444444444445</v>
      </c>
      <c r="G113"/>
      <c r="H113"/>
      <c r="I113"/>
      <c r="J113" s="59" t="s">
        <v>251</v>
      </c>
      <c r="K113" s="59" t="s">
        <v>251</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2.75">
      <c r="A114" s="18">
        <v>64.33</v>
      </c>
      <c r="B114" s="18">
        <f>0.3048*2158</f>
        <v>657.7584</v>
      </c>
      <c r="C114" t="s">
        <v>230</v>
      </c>
      <c r="D114" t="s">
        <v>246</v>
      </c>
      <c r="E114" s="59" t="s">
        <v>251</v>
      </c>
      <c r="F114" s="37">
        <v>0.4791666666666667</v>
      </c>
      <c r="G114"/>
      <c r="H114"/>
      <c r="I114"/>
      <c r="J114" s="59" t="s">
        <v>251</v>
      </c>
      <c r="K114" s="59" t="s">
        <v>251</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2.75">
      <c r="A115" s="18">
        <v>64.33</v>
      </c>
      <c r="B115" s="18">
        <f>0.3048*2158</f>
        <v>657.7584</v>
      </c>
      <c r="C115" t="s">
        <v>277</v>
      </c>
      <c r="D115" t="s">
        <v>241</v>
      </c>
      <c r="E115" s="59" t="s">
        <v>251</v>
      </c>
      <c r="F115" s="37">
        <v>0.5520833333333334</v>
      </c>
      <c r="G115"/>
      <c r="H115"/>
      <c r="I115"/>
      <c r="J115" s="59" t="s">
        <v>251</v>
      </c>
      <c r="K115" s="59" t="s">
        <v>251</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2.75">
      <c r="A116" s="18">
        <v>107.63</v>
      </c>
      <c r="B116" s="18">
        <f>0.3048*2164</f>
        <v>659.5872</v>
      </c>
      <c r="C116" t="s">
        <v>278</v>
      </c>
      <c r="D116" t="s">
        <v>246</v>
      </c>
      <c r="E116" s="82">
        <v>0.4375</v>
      </c>
      <c r="F116" s="37">
        <v>0.625</v>
      </c>
      <c r="G116"/>
      <c r="H116"/>
      <c r="I116"/>
      <c r="J116" s="82">
        <v>0.7083333333333334</v>
      </c>
      <c r="K116" s="82">
        <v>0.7083333333333334</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2.75">
      <c r="A117" s="18">
        <v>107.63</v>
      </c>
      <c r="B117" s="18">
        <f>0.3048*2164</f>
        <v>659.5872</v>
      </c>
      <c r="C117" t="s">
        <v>116</v>
      </c>
      <c r="D117" t="s">
        <v>241</v>
      </c>
      <c r="E117"/>
      <c r="F117" s="82">
        <v>0.71875</v>
      </c>
      <c r="G117"/>
      <c r="H117"/>
      <c r="I117"/>
      <c r="J117" s="82">
        <v>0.71875</v>
      </c>
      <c r="K117" s="82">
        <v>0.71875</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2.75">
      <c r="A118" s="18">
        <v>176.83</v>
      </c>
      <c r="B118" s="18">
        <f>0.3048*2079</f>
        <v>633.6792</v>
      </c>
      <c r="C118" t="s">
        <v>231</v>
      </c>
      <c r="D118" t="s">
        <v>246</v>
      </c>
      <c r="E118"/>
      <c r="F118" s="82">
        <v>0.7604166666666666</v>
      </c>
      <c r="G118"/>
      <c r="H118"/>
      <c r="I118"/>
      <c r="J118" s="82">
        <v>0.7604166666666666</v>
      </c>
      <c r="K118" s="82">
        <v>0.7604166666666666</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12.75">
      <c r="A119"/>
      <c r="B119"/>
      <c r="C119" t="s">
        <v>232</v>
      </c>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75">
      <c r="A120"/>
      <c r="B120"/>
      <c r="C120" t="s">
        <v>481</v>
      </c>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 r="A121"/>
      <c r="B121"/>
      <c r="C121" t="s">
        <v>234</v>
      </c>
      <c r="D121"/>
      <c r="E121"/>
      <c r="F121" s="10"/>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12.75">
      <c r="A123"/>
      <c r="B123"/>
      <c r="C123" s="35" t="s">
        <v>221</v>
      </c>
      <c r="D123"/>
      <c r="E123" s="36" t="s">
        <v>475</v>
      </c>
      <c r="F123" s="36" t="s">
        <v>125</v>
      </c>
      <c r="G123" s="36" t="s">
        <v>120</v>
      </c>
      <c r="H123" s="36" t="s">
        <v>125</v>
      </c>
      <c r="I123" s="36" t="s">
        <v>130</v>
      </c>
      <c r="J123" s="36" t="s">
        <v>120</v>
      </c>
      <c r="K123" s="36" t="s">
        <v>116</v>
      </c>
      <c r="L123" s="36" t="s">
        <v>475</v>
      </c>
      <c r="M123" s="36" t="s">
        <v>125</v>
      </c>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12.75">
      <c r="A124"/>
      <c r="B124"/>
      <c r="C124" s="35" t="s">
        <v>237</v>
      </c>
      <c r="D124"/>
      <c r="E124"/>
      <c r="F124">
        <v>32</v>
      </c>
      <c r="G124">
        <v>22</v>
      </c>
      <c r="H124">
        <v>42</v>
      </c>
      <c r="I124" t="s">
        <v>129</v>
      </c>
      <c r="J124">
        <v>24</v>
      </c>
      <c r="K124">
        <v>2</v>
      </c>
      <c r="L124"/>
      <c r="M124">
        <v>52</v>
      </c>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3.25">
      <c r="A125" s="36" t="s">
        <v>2</v>
      </c>
      <c r="B125" s="36" t="s">
        <v>222</v>
      </c>
      <c r="C125"/>
      <c r="D125"/>
      <c r="E125" s="38" t="s">
        <v>154</v>
      </c>
      <c r="F125" s="38" t="s">
        <v>156</v>
      </c>
      <c r="G125" s="38" t="s">
        <v>154</v>
      </c>
      <c r="H125" s="38" t="s">
        <v>156</v>
      </c>
      <c r="I125" s="38" t="s">
        <v>158</v>
      </c>
      <c r="J125" s="38" t="s">
        <v>155</v>
      </c>
      <c r="K125" s="38" t="s">
        <v>153</v>
      </c>
      <c r="L125" s="38" t="s">
        <v>476</v>
      </c>
      <c r="M125" s="38" t="s">
        <v>157</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2.75">
      <c r="A126"/>
      <c r="B126"/>
      <c r="C126"/>
      <c r="D126"/>
      <c r="E126" s="81"/>
      <c r="F126" s="81" t="s">
        <v>86</v>
      </c>
      <c r="G126" s="81" t="s">
        <v>86</v>
      </c>
      <c r="H126" s="81" t="s">
        <v>86</v>
      </c>
      <c r="I126" s="81"/>
      <c r="J126" s="81" t="s">
        <v>86</v>
      </c>
      <c r="K126" s="81"/>
      <c r="L126" s="81"/>
      <c r="M126" s="81" t="s">
        <v>86</v>
      </c>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12.75">
      <c r="A127" s="18">
        <f>A118-A118</f>
        <v>0</v>
      </c>
      <c r="B127" s="18">
        <f>0.3048*2079</f>
        <v>633.6792</v>
      </c>
      <c r="C127" t="s">
        <v>231</v>
      </c>
      <c r="D127" t="s">
        <v>241</v>
      </c>
      <c r="E127" s="88">
        <v>0.3541666666666667</v>
      </c>
      <c r="F127"/>
      <c r="G127" s="88">
        <v>0.3541666666666667</v>
      </c>
      <c r="H127"/>
      <c r="I127"/>
      <c r="J127"/>
      <c r="K127" s="88">
        <v>0.3541666666666667</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12.75">
      <c r="A128" s="34">
        <f>A118-A117</f>
        <v>69.20000000000002</v>
      </c>
      <c r="B128" s="18">
        <f>0.3048*2164</f>
        <v>659.5872</v>
      </c>
      <c r="C128" t="s">
        <v>116</v>
      </c>
      <c r="D128" t="s">
        <v>246</v>
      </c>
      <c r="E128" s="88">
        <v>0.40625</v>
      </c>
      <c r="F128"/>
      <c r="G128" s="88">
        <v>0.40625</v>
      </c>
      <c r="H128"/>
      <c r="I128"/>
      <c r="J128"/>
      <c r="K128" s="88">
        <v>0.40625</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12.75">
      <c r="A129" s="34">
        <f>A118-A116</f>
        <v>69.20000000000002</v>
      </c>
      <c r="B129" s="18">
        <f>0.3048*2164</f>
        <v>659.5872</v>
      </c>
      <c r="C129" t="s">
        <v>278</v>
      </c>
      <c r="D129" t="s">
        <v>241</v>
      </c>
      <c r="E129" s="88">
        <v>0.4166666666666667</v>
      </c>
      <c r="F129"/>
      <c r="G129" s="88">
        <v>0.4166666666666667</v>
      </c>
      <c r="H129"/>
      <c r="I129"/>
      <c r="J129"/>
      <c r="K129" s="84">
        <v>0.4791666666666667</v>
      </c>
      <c r="L129" s="88">
        <v>0.638888888888889</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2.75">
      <c r="A130" s="34">
        <f>A118-A115</f>
        <v>112.50000000000001</v>
      </c>
      <c r="B130" s="18">
        <f>0.3048*2158</f>
        <v>657.7584</v>
      </c>
      <c r="C130" t="s">
        <v>277</v>
      </c>
      <c r="D130" t="s">
        <v>246</v>
      </c>
      <c r="E130" s="59" t="s">
        <v>251</v>
      </c>
      <c r="F130"/>
      <c r="G130" s="59" t="s">
        <v>251</v>
      </c>
      <c r="H130"/>
      <c r="I130"/>
      <c r="J130"/>
      <c r="K130" s="84">
        <v>0.5520833333333334</v>
      </c>
      <c r="L130" s="59" t="s">
        <v>251</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12.75">
      <c r="A131" s="34">
        <f>A118-A114</f>
        <v>112.50000000000001</v>
      </c>
      <c r="B131" s="18">
        <f>0.3048*2158</f>
        <v>657.7584</v>
      </c>
      <c r="C131" t="s">
        <v>230</v>
      </c>
      <c r="D131" t="s">
        <v>241</v>
      </c>
      <c r="E131" s="59" t="s">
        <v>251</v>
      </c>
      <c r="F131"/>
      <c r="G131" s="59" t="s">
        <v>251</v>
      </c>
      <c r="H131"/>
      <c r="I131"/>
      <c r="J131"/>
      <c r="K131" s="84">
        <v>0.625</v>
      </c>
      <c r="L131" s="59" t="s">
        <v>251</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12.75">
      <c r="A132" s="34">
        <f>A118-A112</f>
        <v>133.20000000000002</v>
      </c>
      <c r="B132" s="18">
        <f>0.3048*2767</f>
        <v>843.3816</v>
      </c>
      <c r="C132" t="s">
        <v>120</v>
      </c>
      <c r="D132" t="s">
        <v>246</v>
      </c>
      <c r="E132" s="88">
        <v>0.4583333333333333</v>
      </c>
      <c r="F132"/>
      <c r="G132" s="88">
        <v>0.4583333333333333</v>
      </c>
      <c r="H132"/>
      <c r="I132"/>
      <c r="J132"/>
      <c r="K132" s="84">
        <v>0.6631944444444444</v>
      </c>
      <c r="L132" s="88">
        <v>0.6805555555555555</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12.75">
      <c r="A133" s="34">
        <f>A118-A111</f>
        <v>133.20000000000002</v>
      </c>
      <c r="B133" s="18">
        <f>0.3048*2767</f>
        <v>843.3816</v>
      </c>
      <c r="C133" t="s">
        <v>120</v>
      </c>
      <c r="D133" t="s">
        <v>241</v>
      </c>
      <c r="E133" s="88">
        <v>0.46875</v>
      </c>
      <c r="F133"/>
      <c r="G133" s="84">
        <v>0.47222222222222227</v>
      </c>
      <c r="H133"/>
      <c r="I133" s="84">
        <v>0.6354166666666666</v>
      </c>
      <c r="J133" s="84">
        <v>0.65625</v>
      </c>
      <c r="K133" s="84">
        <v>0.6708333333333334</v>
      </c>
      <c r="L133" s="88">
        <v>0.6875</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12.75">
      <c r="A134" s="34">
        <f>A118-A110</f>
        <v>145</v>
      </c>
      <c r="B134" s="18">
        <f>0.3048*2885</f>
        <v>879.3480000000001</v>
      </c>
      <c r="C134" t="s">
        <v>480</v>
      </c>
      <c r="D134" t="s">
        <v>246</v>
      </c>
      <c r="E134" s="59" t="s">
        <v>251</v>
      </c>
      <c r="F134"/>
      <c r="G134" s="84">
        <v>0.4847222222222222</v>
      </c>
      <c r="H134"/>
      <c r="I134" s="84">
        <v>0.6479166666666667</v>
      </c>
      <c r="J134" s="84">
        <v>0.66875</v>
      </c>
      <c r="K134" s="84">
        <v>0.6826388888888889</v>
      </c>
      <c r="L134" s="59" t="s">
        <v>251</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12.75">
      <c r="A135" s="34">
        <f>A118-A109</f>
        <v>145</v>
      </c>
      <c r="B135" s="18">
        <f>0.3048*2885</f>
        <v>879.3480000000001</v>
      </c>
      <c r="C135" t="s">
        <v>479</v>
      </c>
      <c r="D135" t="s">
        <v>241</v>
      </c>
      <c r="E135" s="59" t="s">
        <v>251</v>
      </c>
      <c r="F135" s="37">
        <v>0.41875</v>
      </c>
      <c r="G135" s="37">
        <v>0.4451388888888889</v>
      </c>
      <c r="H135" s="37">
        <v>0.6006944444444444</v>
      </c>
      <c r="I135" s="37">
        <v>0.6083333333333333</v>
      </c>
      <c r="J135" s="37">
        <v>0.6291666666666667</v>
      </c>
      <c r="K135" s="37">
        <v>0.6409722222222222</v>
      </c>
      <c r="L135" s="59" t="s">
        <v>251</v>
      </c>
      <c r="M135" s="37">
        <v>0.7465277777777778</v>
      </c>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12.75">
      <c r="A136" s="34">
        <f>A118-A108</f>
        <v>155.10000000000002</v>
      </c>
      <c r="B136" s="18">
        <f>0.3048*1871</f>
        <v>570.2808</v>
      </c>
      <c r="C136" t="s">
        <v>287</v>
      </c>
      <c r="D136"/>
      <c r="E136" s="59" t="s">
        <v>251</v>
      </c>
      <c r="F136" s="37">
        <v>0.4381944444444445</v>
      </c>
      <c r="G136" s="37">
        <v>0.46458333333333335</v>
      </c>
      <c r="H136" s="37">
        <v>0.6201388888888889</v>
      </c>
      <c r="I136" s="37">
        <v>0.6277777777777778</v>
      </c>
      <c r="J136" s="37">
        <v>0.6486111111111111</v>
      </c>
      <c r="K136" s="37">
        <v>0.6604166666666667</v>
      </c>
      <c r="L136" s="59" t="s">
        <v>251</v>
      </c>
      <c r="M136" s="37">
        <v>0.7659722222222222</v>
      </c>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12.75">
      <c r="A137" s="34">
        <f>A118-A107</f>
        <v>164.10000000000002</v>
      </c>
      <c r="B137" s="18">
        <f>0.3048*849</f>
        <v>258.77520000000004</v>
      </c>
      <c r="C137" t="s">
        <v>285</v>
      </c>
      <c r="D137"/>
      <c r="E137" s="59" t="s">
        <v>251</v>
      </c>
      <c r="F137" s="37">
        <v>0.45416666666666666</v>
      </c>
      <c r="G137" s="37">
        <v>0.48055555555555557</v>
      </c>
      <c r="H137" s="37">
        <v>0.6361111111111112</v>
      </c>
      <c r="I137" s="37">
        <v>0.64375</v>
      </c>
      <c r="J137" s="37">
        <v>0.6645833333333333</v>
      </c>
      <c r="K137" s="37">
        <v>0.6763888888888889</v>
      </c>
      <c r="L137" s="59" t="s">
        <v>251</v>
      </c>
      <c r="M137" s="37">
        <v>0.7819444444444444</v>
      </c>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12.75">
      <c r="A138" s="34">
        <f>A118-A106</f>
        <v>168.3</v>
      </c>
      <c r="B138" s="18">
        <f>0.3048*402</f>
        <v>122.5296</v>
      </c>
      <c r="C138" t="s">
        <v>478</v>
      </c>
      <c r="D138"/>
      <c r="E138" s="59" t="s">
        <v>251</v>
      </c>
      <c r="F138" s="59" t="s">
        <v>251</v>
      </c>
      <c r="G138" s="37">
        <v>0.4875</v>
      </c>
      <c r="H138" s="59" t="s">
        <v>251</v>
      </c>
      <c r="I138" s="59" t="s">
        <v>251</v>
      </c>
      <c r="J138" s="37">
        <v>0.6715277777777778</v>
      </c>
      <c r="K138" s="37">
        <v>0.6833333333333332</v>
      </c>
      <c r="L138" s="59" t="s">
        <v>251</v>
      </c>
      <c r="M138" s="59" t="s">
        <v>251</v>
      </c>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12.75">
      <c r="A139" s="34">
        <f>A118-A105</f>
        <v>174.10000000000002</v>
      </c>
      <c r="B139" s="18">
        <v>0</v>
      </c>
      <c r="C139" t="s">
        <v>227</v>
      </c>
      <c r="D139" t="s">
        <v>246</v>
      </c>
      <c r="E139" s="59" t="s">
        <v>251</v>
      </c>
      <c r="F139" s="59" t="s">
        <v>251</v>
      </c>
      <c r="G139" s="59" t="s">
        <v>251</v>
      </c>
      <c r="H139" s="59" t="s">
        <v>251</v>
      </c>
      <c r="I139" s="59" t="s">
        <v>251</v>
      </c>
      <c r="J139" s="59" t="s">
        <v>251</v>
      </c>
      <c r="K139" s="37">
        <v>0.6930555555555555</v>
      </c>
      <c r="L139" s="59" t="s">
        <v>251</v>
      </c>
      <c r="M139" s="59" t="s">
        <v>251</v>
      </c>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12.75">
      <c r="A140" s="34">
        <f>A118-A104</f>
        <v>176.83</v>
      </c>
      <c r="B140" s="18">
        <v>0</v>
      </c>
      <c r="C140" t="s">
        <v>477</v>
      </c>
      <c r="D140" t="s">
        <v>246</v>
      </c>
      <c r="E140" s="88">
        <v>0.46875</v>
      </c>
      <c r="F140" s="37">
        <v>0.47361111111111115</v>
      </c>
      <c r="G140" s="37">
        <v>0.5</v>
      </c>
      <c r="H140" s="37">
        <v>0.6555555555555556</v>
      </c>
      <c r="I140" s="37">
        <v>0.6666666666666666</v>
      </c>
      <c r="J140" s="37">
        <v>0.6875</v>
      </c>
      <c r="K140" s="84">
        <v>0.6875</v>
      </c>
      <c r="L140" s="88">
        <v>0.6875</v>
      </c>
      <c r="M140" s="37">
        <v>0.8013888888888889</v>
      </c>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12.75">
      <c r="A141"/>
      <c r="B141"/>
      <c r="C141" t="s">
        <v>239</v>
      </c>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12.75">
      <c r="A142"/>
      <c r="B142"/>
      <c r="C142" t="s">
        <v>481</v>
      </c>
      <c r="D142"/>
      <c r="E142" t="s">
        <v>482</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12.75">
      <c r="A143"/>
      <c r="B143"/>
      <c r="C143" t="s">
        <v>234</v>
      </c>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ht="12.75">
      <c r="K145"/>
    </row>
    <row r="146" ht="12.75">
      <c r="K146"/>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Roman,Standaard"&amp;12&amp;A</oddHeader>
    <oddFooter>&amp;C&amp;"Times New Roman,Standaard"&amp;12Pagina &amp;P</oddFooter>
  </headerFooter>
</worksheet>
</file>

<file path=xl/worksheets/sheet29.xml><?xml version="1.0" encoding="utf-8"?>
<worksheet xmlns="http://schemas.openxmlformats.org/spreadsheetml/2006/main" xmlns:r="http://schemas.openxmlformats.org/officeDocument/2006/relationships">
  <dimension ref="A1:IV156"/>
  <sheetViews>
    <sheetView zoomScale="80" zoomScaleNormal="80" workbookViewId="0" topLeftCell="A1">
      <selection activeCell="A1" sqref="A1"/>
    </sheetView>
  </sheetViews>
  <sheetFormatPr defaultColWidth="12.57421875" defaultRowHeight="12.75"/>
  <cols>
    <col min="1" max="1" width="5.8515625" style="0" customWidth="1"/>
    <col min="2" max="2" width="7.421875" style="0" customWidth="1"/>
    <col min="3" max="3" width="19.8515625" style="0" customWidth="1"/>
    <col min="4" max="4" width="2.140625" style="0" customWidth="1"/>
    <col min="5" max="16384" width="11.57421875" style="0" customWidth="1"/>
  </cols>
  <sheetData>
    <row r="1" spans="1:256" s="16" customFormat="1" ht="12.75">
      <c r="A1" s="3">
        <v>2015</v>
      </c>
      <c r="B1"/>
      <c r="C1" s="3" t="s">
        <v>34</v>
      </c>
      <c r="D1" s="19"/>
      <c r="E1">
        <v>10</v>
      </c>
      <c r="F1">
        <v>10</v>
      </c>
      <c r="G1"/>
      <c r="H1" s="22">
        <v>2</v>
      </c>
      <c r="I1"/>
      <c r="J1" s="22">
        <v>4</v>
      </c>
      <c r="K1"/>
      <c r="L1"/>
      <c r="M1"/>
      <c r="N1"/>
      <c r="O1"/>
      <c r="P1"/>
      <c r="Q1"/>
      <c r="R1"/>
      <c r="S1"/>
      <c r="T1"/>
      <c r="U1"/>
      <c r="V1"/>
      <c r="W1"/>
      <c r="X1"/>
      <c r="IT1"/>
      <c r="IU1"/>
      <c r="IV1"/>
    </row>
    <row r="2" spans="1:256" s="16" customFormat="1" ht="12.75">
      <c r="A2" s="50" t="s">
        <v>2</v>
      </c>
      <c r="B2" s="36" t="s">
        <v>222</v>
      </c>
      <c r="C2" s="42" t="s">
        <v>223</v>
      </c>
      <c r="D2" s="19"/>
      <c r="E2" s="57" t="s">
        <v>483</v>
      </c>
      <c r="F2" s="15" t="s">
        <v>96</v>
      </c>
      <c r="G2"/>
      <c r="H2" s="36" t="s">
        <v>83</v>
      </c>
      <c r="I2" s="15" t="s">
        <v>182</v>
      </c>
      <c r="J2" s="15" t="s">
        <v>88</v>
      </c>
      <c r="K2"/>
      <c r="L2"/>
      <c r="M2"/>
      <c r="N2"/>
      <c r="O2"/>
      <c r="P2"/>
      <c r="Q2"/>
      <c r="R2"/>
      <c r="S2"/>
      <c r="T2"/>
      <c r="U2"/>
      <c r="V2"/>
      <c r="W2"/>
      <c r="X2"/>
      <c r="IT2"/>
      <c r="IU2"/>
      <c r="IV2"/>
    </row>
    <row r="3" spans="2:256" s="16" customFormat="1" ht="12.75">
      <c r="B3"/>
      <c r="C3" s="35" t="s">
        <v>484</v>
      </c>
      <c r="D3" s="19"/>
      <c r="E3" s="43" t="s">
        <v>141</v>
      </c>
      <c r="F3" s="15" t="s">
        <v>192</v>
      </c>
      <c r="G3"/>
      <c r="H3" s="23" t="s">
        <v>179</v>
      </c>
      <c r="I3" s="23" t="s">
        <v>183</v>
      </c>
      <c r="J3" s="11" t="s">
        <v>191</v>
      </c>
      <c r="K3"/>
      <c r="L3"/>
      <c r="M3"/>
      <c r="N3"/>
      <c r="O3"/>
      <c r="P3"/>
      <c r="Q3"/>
      <c r="R3"/>
      <c r="S3"/>
      <c r="T3"/>
      <c r="U3"/>
      <c r="V3"/>
      <c r="W3"/>
      <c r="X3"/>
      <c r="IT3"/>
      <c r="IU3"/>
      <c r="IV3"/>
    </row>
    <row r="4" spans="2:256" s="16" customFormat="1" ht="12.75">
      <c r="B4"/>
      <c r="C4" s="19"/>
      <c r="D4" s="19"/>
      <c r="E4" s="43" t="s">
        <v>82</v>
      </c>
      <c r="F4" s="43" t="s">
        <v>148</v>
      </c>
      <c r="G4"/>
      <c r="H4" s="57" t="s">
        <v>159</v>
      </c>
      <c r="I4" s="36" t="s">
        <v>184</v>
      </c>
      <c r="J4" s="43" t="s">
        <v>148</v>
      </c>
      <c r="K4"/>
      <c r="L4"/>
      <c r="M4"/>
      <c r="N4"/>
      <c r="O4"/>
      <c r="P4"/>
      <c r="Q4"/>
      <c r="R4"/>
      <c r="S4"/>
      <c r="T4"/>
      <c r="U4"/>
      <c r="V4"/>
      <c r="W4"/>
      <c r="X4"/>
      <c r="IT4"/>
      <c r="IU4"/>
      <c r="IV4"/>
    </row>
    <row r="5" spans="1:256" s="16" customFormat="1" ht="12.75">
      <c r="A5" s="32">
        <v>0</v>
      </c>
      <c r="B5" s="17">
        <f>0.3048*38</f>
        <v>11.5824</v>
      </c>
      <c r="C5" s="19" t="s">
        <v>245</v>
      </c>
      <c r="D5" s="19" t="s">
        <v>241</v>
      </c>
      <c r="E5" s="39">
        <v>0.3541666666666667</v>
      </c>
      <c r="F5" s="39">
        <v>0.3541666666666667</v>
      </c>
      <c r="G5"/>
      <c r="H5" s="39">
        <v>0.34375</v>
      </c>
      <c r="I5" s="39">
        <v>0.3854166666666667</v>
      </c>
      <c r="J5" s="22"/>
      <c r="K5"/>
      <c r="L5"/>
      <c r="M5"/>
      <c r="N5"/>
      <c r="O5"/>
      <c r="P5"/>
      <c r="Q5"/>
      <c r="R5"/>
      <c r="S5"/>
      <c r="T5"/>
      <c r="U5"/>
      <c r="V5"/>
      <c r="W5"/>
      <c r="X5"/>
      <c r="IT5"/>
      <c r="IU5"/>
      <c r="IV5"/>
    </row>
    <row r="6" spans="1:256" s="16" customFormat="1" ht="12.75">
      <c r="A6" s="32">
        <f>A7</f>
        <v>73.2095</v>
      </c>
      <c r="B6" s="17">
        <f>0.3048*339</f>
        <v>103.3272</v>
      </c>
      <c r="C6" t="s">
        <v>248</v>
      </c>
      <c r="D6" s="39" t="s">
        <v>246</v>
      </c>
      <c r="E6" s="39">
        <f>E7</f>
        <v>0.4097222222222222</v>
      </c>
      <c r="F6" s="39">
        <f>F7</f>
        <v>0.4097222222222222</v>
      </c>
      <c r="G6"/>
      <c r="H6" s="39">
        <v>0.3958333333333333</v>
      </c>
      <c r="I6" s="36" t="s">
        <v>251</v>
      </c>
      <c r="J6" s="22"/>
      <c r="K6"/>
      <c r="L6"/>
      <c r="M6"/>
      <c r="N6"/>
      <c r="O6"/>
      <c r="P6"/>
      <c r="Q6"/>
      <c r="R6"/>
      <c r="S6"/>
      <c r="T6"/>
      <c r="U6"/>
      <c r="V6"/>
      <c r="W6"/>
      <c r="X6"/>
      <c r="IT6"/>
      <c r="IU6"/>
      <c r="IV6"/>
    </row>
    <row r="7" spans="1:256" s="16" customFormat="1" ht="12.75">
      <c r="A7" s="32">
        <v>73.2095</v>
      </c>
      <c r="B7" s="17">
        <f>B6</f>
        <v>103.3272</v>
      </c>
      <c r="C7" s="19" t="s">
        <v>248</v>
      </c>
      <c r="D7" t="s">
        <v>241</v>
      </c>
      <c r="E7" s="39">
        <v>0.4097222222222222</v>
      </c>
      <c r="F7" s="39">
        <v>0.4097222222222222</v>
      </c>
      <c r="G7"/>
      <c r="H7" s="89" t="s">
        <v>485</v>
      </c>
      <c r="I7" s="36" t="s">
        <v>251</v>
      </c>
      <c r="J7"/>
      <c r="K7"/>
      <c r="L7"/>
      <c r="M7"/>
      <c r="N7"/>
      <c r="O7"/>
      <c r="P7"/>
      <c r="Q7"/>
      <c r="R7"/>
      <c r="S7"/>
      <c r="T7"/>
      <c r="U7"/>
      <c r="V7"/>
      <c r="W7"/>
      <c r="X7"/>
      <c r="IT7"/>
      <c r="IU7"/>
      <c r="IV7"/>
    </row>
    <row r="8" spans="1:256" s="16" customFormat="1" ht="12.75">
      <c r="A8" s="32">
        <v>180.8516</v>
      </c>
      <c r="B8" s="17">
        <f>0.3048*354</f>
        <v>107.89920000000001</v>
      </c>
      <c r="C8" s="19" t="s">
        <v>249</v>
      </c>
      <c r="D8" s="19" t="s">
        <v>246</v>
      </c>
      <c r="E8" s="39">
        <f>E9</f>
        <v>0.4756944444444444</v>
      </c>
      <c r="F8" s="39">
        <f>F9</f>
        <v>0.4756944444444444</v>
      </c>
      <c r="G8"/>
      <c r="H8" s="39">
        <v>0.4618055555555556</v>
      </c>
      <c r="I8" s="39">
        <v>0.5</v>
      </c>
      <c r="J8"/>
      <c r="K8"/>
      <c r="L8"/>
      <c r="M8"/>
      <c r="N8"/>
      <c r="O8"/>
      <c r="P8"/>
      <c r="Q8"/>
      <c r="R8"/>
      <c r="S8"/>
      <c r="T8"/>
      <c r="U8"/>
      <c r="V8"/>
      <c r="W8"/>
      <c r="X8"/>
      <c r="IT8"/>
      <c r="IU8"/>
      <c r="IV8"/>
    </row>
    <row r="9" spans="1:256" s="16" customFormat="1" ht="12.75">
      <c r="A9" s="32">
        <v>180.8516</v>
      </c>
      <c r="B9" s="17">
        <f>B8</f>
        <v>107.89920000000001</v>
      </c>
      <c r="C9" s="19" t="s">
        <v>249</v>
      </c>
      <c r="D9" s="19" t="s">
        <v>241</v>
      </c>
      <c r="E9" s="39">
        <v>0.4756944444444444</v>
      </c>
      <c r="F9" s="39">
        <v>0.4756944444444444</v>
      </c>
      <c r="G9"/>
      <c r="H9" s="39">
        <v>0.4722222222222222</v>
      </c>
      <c r="I9" s="39">
        <v>0.5</v>
      </c>
      <c r="J9" s="39">
        <v>0.53125</v>
      </c>
      <c r="K9"/>
      <c r="L9"/>
      <c r="M9"/>
      <c r="N9"/>
      <c r="O9"/>
      <c r="P9"/>
      <c r="Q9"/>
      <c r="R9"/>
      <c r="S9"/>
      <c r="T9"/>
      <c r="U9"/>
      <c r="V9"/>
      <c r="W9"/>
      <c r="X9"/>
      <c r="IT9"/>
      <c r="IU9"/>
      <c r="IV9"/>
    </row>
    <row r="10" spans="1:256" s="16" customFormat="1" ht="12.75">
      <c r="A10" s="32">
        <v>196.1371</v>
      </c>
      <c r="B10" s="17">
        <f>0.3048*461</f>
        <v>140.5128</v>
      </c>
      <c r="C10" s="19" t="s">
        <v>309</v>
      </c>
      <c r="D10" s="47" t="s">
        <v>286</v>
      </c>
      <c r="E10" s="39">
        <v>0.4930555555555556</v>
      </c>
      <c r="F10" s="39">
        <f>E10</f>
        <v>0.4930555555555556</v>
      </c>
      <c r="G10"/>
      <c r="H10" s="36" t="s">
        <v>251</v>
      </c>
      <c r="I10" s="36" t="s">
        <v>251</v>
      </c>
      <c r="J10" s="39">
        <v>0.5416666666666666</v>
      </c>
      <c r="K10"/>
      <c r="L10"/>
      <c r="M10"/>
      <c r="N10"/>
      <c r="O10"/>
      <c r="P10"/>
      <c r="Q10"/>
      <c r="R10"/>
      <c r="S10"/>
      <c r="T10"/>
      <c r="U10"/>
      <c r="V10"/>
      <c r="W10"/>
      <c r="X10"/>
      <c r="IT10"/>
      <c r="IU10"/>
      <c r="IV10"/>
    </row>
    <row r="11" spans="1:256" s="16" customFormat="1" ht="12.75">
      <c r="A11" s="32">
        <v>215.9278</v>
      </c>
      <c r="B11" s="17">
        <f>0.3048*546</f>
        <v>166.4208</v>
      </c>
      <c r="C11" s="19" t="s">
        <v>250</v>
      </c>
      <c r="D11" s="47" t="s">
        <v>286</v>
      </c>
      <c r="E11" s="39">
        <v>0.5069444444444444</v>
      </c>
      <c r="F11" s="39">
        <f>E11</f>
        <v>0.5069444444444444</v>
      </c>
      <c r="G11"/>
      <c r="H11" s="36" t="s">
        <v>251</v>
      </c>
      <c r="I11" s="36" t="s">
        <v>251</v>
      </c>
      <c r="J11" s="39">
        <v>0.5555555555555556</v>
      </c>
      <c r="K11"/>
      <c r="L11"/>
      <c r="M11"/>
      <c r="N11"/>
      <c r="O11"/>
      <c r="P11"/>
      <c r="Q11"/>
      <c r="R11"/>
      <c r="S11"/>
      <c r="T11"/>
      <c r="U11"/>
      <c r="V11"/>
      <c r="W11"/>
      <c r="X11"/>
      <c r="IT11"/>
      <c r="IU11"/>
      <c r="IV11"/>
    </row>
    <row r="12" spans="1:256" s="16" customFormat="1" ht="12.75">
      <c r="A12" s="34">
        <v>219.74</v>
      </c>
      <c r="B12" s="12">
        <v>172.31</v>
      </c>
      <c r="C12" t="s">
        <v>486</v>
      </c>
      <c r="D12" s="47" t="s">
        <v>286</v>
      </c>
      <c r="E12" s="39">
        <v>0.5159722222222223</v>
      </c>
      <c r="F12" s="39">
        <f>E12</f>
        <v>0.5159722222222223</v>
      </c>
      <c r="G12"/>
      <c r="H12" s="36" t="s">
        <v>251</v>
      </c>
      <c r="I12" s="36" t="s">
        <v>251</v>
      </c>
      <c r="J12" s="90">
        <v>0.5625</v>
      </c>
      <c r="K12"/>
      <c r="L12"/>
      <c r="M12"/>
      <c r="N12"/>
      <c r="O12"/>
      <c r="P12"/>
      <c r="Q12"/>
      <c r="R12"/>
      <c r="S12"/>
      <c r="T12"/>
      <c r="U12"/>
      <c r="V12"/>
      <c r="W12"/>
      <c r="X12"/>
      <c r="IT12"/>
      <c r="IU12"/>
      <c r="IV12"/>
    </row>
    <row r="13" spans="1:256" s="16" customFormat="1" ht="12.75">
      <c r="A13" s="32">
        <v>230.7306</v>
      </c>
      <c r="B13" s="17">
        <f>0.3048*621</f>
        <v>189.2808</v>
      </c>
      <c r="C13" s="19" t="s">
        <v>310</v>
      </c>
      <c r="D13" s="47" t="s">
        <v>286</v>
      </c>
      <c r="E13" s="39">
        <v>0.5208333333333334</v>
      </c>
      <c r="F13" s="39">
        <f>E13</f>
        <v>0.5208333333333334</v>
      </c>
      <c r="G13"/>
      <c r="H13" s="36" t="s">
        <v>251</v>
      </c>
      <c r="I13" s="36" t="s">
        <v>251</v>
      </c>
      <c r="J13" s="39">
        <v>0.5659722222222222</v>
      </c>
      <c r="K13"/>
      <c r="L13"/>
      <c r="M13"/>
      <c r="N13"/>
      <c r="O13"/>
      <c r="P13"/>
      <c r="Q13"/>
      <c r="R13"/>
      <c r="S13"/>
      <c r="T13"/>
      <c r="U13"/>
      <c r="V13"/>
      <c r="W13"/>
      <c r="X13"/>
      <c r="IT13"/>
      <c r="IU13"/>
      <c r="IV13"/>
    </row>
    <row r="14" spans="1:256" s="16" customFormat="1" ht="12.75">
      <c r="A14" s="32">
        <v>239.5801</v>
      </c>
      <c r="B14" s="17">
        <f>0.3048*731</f>
        <v>222.80880000000002</v>
      </c>
      <c r="C14" s="19" t="s">
        <v>311</v>
      </c>
      <c r="D14" s="47" t="s">
        <v>286</v>
      </c>
      <c r="E14" s="39">
        <v>0.5277777777777778</v>
      </c>
      <c r="F14" s="39">
        <f>E14</f>
        <v>0.5277777777777778</v>
      </c>
      <c r="G14"/>
      <c r="H14" s="36" t="s">
        <v>251</v>
      </c>
      <c r="I14" s="36" t="s">
        <v>251</v>
      </c>
      <c r="J14" s="39">
        <v>0.5833333333333334</v>
      </c>
      <c r="K14"/>
      <c r="L14"/>
      <c r="M14"/>
      <c r="N14"/>
      <c r="O14"/>
      <c r="P14"/>
      <c r="Q14"/>
      <c r="R14"/>
      <c r="S14"/>
      <c r="T14"/>
      <c r="U14"/>
      <c r="V14"/>
      <c r="W14"/>
      <c r="X14"/>
      <c r="IT14"/>
      <c r="IU14"/>
      <c r="IV14"/>
    </row>
    <row r="15" spans="1:256" s="16" customFormat="1" ht="12.75">
      <c r="A15" s="32">
        <v>247.9469</v>
      </c>
      <c r="B15" s="17">
        <f>0.3048*879</f>
        <v>267.9192</v>
      </c>
      <c r="C15" s="19" t="s">
        <v>312</v>
      </c>
      <c r="D15" s="47" t="s">
        <v>286</v>
      </c>
      <c r="E15" s="39">
        <v>0.5451388888888888</v>
      </c>
      <c r="F15" s="39">
        <f>E15</f>
        <v>0.5451388888888888</v>
      </c>
      <c r="G15"/>
      <c r="H15" s="36" t="s">
        <v>251</v>
      </c>
      <c r="I15" s="36" t="s">
        <v>251</v>
      </c>
      <c r="J15" s="90">
        <v>0.5902777777777778</v>
      </c>
      <c r="K15"/>
      <c r="L15"/>
      <c r="M15" s="10"/>
      <c r="N15"/>
      <c r="O15"/>
      <c r="P15"/>
      <c r="Q15"/>
      <c r="R15"/>
      <c r="S15"/>
      <c r="T15"/>
      <c r="U15"/>
      <c r="V15"/>
      <c r="W15"/>
      <c r="X15"/>
      <c r="IT15"/>
      <c r="IU15"/>
      <c r="IV15"/>
    </row>
    <row r="16" spans="1:256" s="16" customFormat="1" ht="12.75">
      <c r="A16" s="34">
        <v>250.52</v>
      </c>
      <c r="B16" s="12">
        <v>304.12</v>
      </c>
      <c r="C16" t="s">
        <v>487</v>
      </c>
      <c r="D16" s="47" t="s">
        <v>286</v>
      </c>
      <c r="E16" s="39">
        <v>0.5513888888888889</v>
      </c>
      <c r="F16" s="39">
        <f>E16</f>
        <v>0.5513888888888889</v>
      </c>
      <c r="G16"/>
      <c r="H16" s="36" t="s">
        <v>251</v>
      </c>
      <c r="I16" s="36" t="s">
        <v>251</v>
      </c>
      <c r="J16" s="39">
        <v>0.59375</v>
      </c>
      <c r="K16"/>
      <c r="L16"/>
      <c r="M16"/>
      <c r="N16"/>
      <c r="O16"/>
      <c r="P16"/>
      <c r="Q16"/>
      <c r="R16"/>
      <c r="S16"/>
      <c r="T16"/>
      <c r="U16"/>
      <c r="V16"/>
      <c r="W16"/>
      <c r="X16"/>
      <c r="IT16"/>
      <c r="IU16"/>
      <c r="IV16"/>
    </row>
    <row r="17" spans="1:256" s="16" customFormat="1" ht="12.75">
      <c r="A17" s="32">
        <v>256.6355</v>
      </c>
      <c r="B17" s="17">
        <f>0.3048*1280</f>
        <v>390.144</v>
      </c>
      <c r="C17" s="19" t="s">
        <v>313</v>
      </c>
      <c r="D17" s="47" t="s">
        <v>286</v>
      </c>
      <c r="E17" s="39">
        <v>0.5555555555555556</v>
      </c>
      <c r="F17" s="39">
        <f>E17</f>
        <v>0.5555555555555556</v>
      </c>
      <c r="G17"/>
      <c r="H17" s="36" t="s">
        <v>251</v>
      </c>
      <c r="I17" s="36" t="s">
        <v>251</v>
      </c>
      <c r="J17" s="39">
        <v>0.5972222222222222</v>
      </c>
      <c r="K17"/>
      <c r="L17"/>
      <c r="M17"/>
      <c r="N17"/>
      <c r="O17"/>
      <c r="P17"/>
      <c r="Q17"/>
      <c r="R17"/>
      <c r="S17"/>
      <c r="T17"/>
      <c r="U17"/>
      <c r="V17"/>
      <c r="W17"/>
      <c r="X17"/>
      <c r="IT17"/>
      <c r="IU17"/>
      <c r="IV17"/>
    </row>
    <row r="18" spans="1:256" s="16" customFormat="1" ht="12.75">
      <c r="A18" s="32">
        <v>268.8639</v>
      </c>
      <c r="B18" s="17">
        <f>0.3048*1688</f>
        <v>514.5024000000001</v>
      </c>
      <c r="C18" s="19" t="s">
        <v>252</v>
      </c>
      <c r="D18" s="47" t="s">
        <v>286</v>
      </c>
      <c r="E18" s="39">
        <v>0.5694444444444444</v>
      </c>
      <c r="F18" s="39">
        <v>0.5694444444444444</v>
      </c>
      <c r="G18"/>
      <c r="H18" s="36" t="s">
        <v>251</v>
      </c>
      <c r="I18" s="36" t="s">
        <v>251</v>
      </c>
      <c r="J18" s="39">
        <v>0.625</v>
      </c>
      <c r="K18"/>
      <c r="L18"/>
      <c r="M18"/>
      <c r="N18"/>
      <c r="O18"/>
      <c r="P18"/>
      <c r="Q18"/>
      <c r="R18"/>
      <c r="S18"/>
      <c r="T18"/>
      <c r="U18"/>
      <c r="V18"/>
      <c r="W18"/>
      <c r="X18"/>
      <c r="IT18"/>
      <c r="IU18"/>
      <c r="IV18"/>
    </row>
    <row r="19" spans="1:256" s="16" customFormat="1" ht="12.75">
      <c r="A19" s="32">
        <v>375.5406</v>
      </c>
      <c r="B19" s="17">
        <f>0.3048*1732</f>
        <v>527.9136</v>
      </c>
      <c r="C19" s="39" t="str">
        <f>C20</f>
        <v>Denali</v>
      </c>
      <c r="D19" s="19" t="s">
        <v>246</v>
      </c>
      <c r="E19" s="39">
        <f>E20</f>
        <v>0.6631944444444444</v>
      </c>
      <c r="F19"/>
      <c r="G19"/>
      <c r="H19" s="39">
        <v>0.6527777777777778</v>
      </c>
      <c r="I19" s="39">
        <v>0.6944444444444444</v>
      </c>
      <c r="J19"/>
      <c r="K19"/>
      <c r="L19"/>
      <c r="M19"/>
      <c r="N19"/>
      <c r="O19"/>
      <c r="P19"/>
      <c r="Q19"/>
      <c r="R19"/>
      <c r="S19"/>
      <c r="T19"/>
      <c r="U19"/>
      <c r="V19"/>
      <c r="W19"/>
      <c r="X19"/>
      <c r="IT19"/>
      <c r="IU19"/>
      <c r="IV19"/>
    </row>
    <row r="20" spans="1:256" s="16" customFormat="1" ht="12.75">
      <c r="A20" s="32">
        <v>375.5406</v>
      </c>
      <c r="B20" s="17">
        <f>B19</f>
        <v>527.9136</v>
      </c>
      <c r="C20" t="s">
        <v>444</v>
      </c>
      <c r="D20" s="19" t="s">
        <v>241</v>
      </c>
      <c r="E20" s="39">
        <v>0.6631944444444444</v>
      </c>
      <c r="F20" s="58"/>
      <c r="G20"/>
      <c r="H20" s="39">
        <v>0.6666666666666666</v>
      </c>
      <c r="I20"/>
      <c r="J20"/>
      <c r="K20"/>
      <c r="L20"/>
      <c r="M20"/>
      <c r="N20"/>
      <c r="O20"/>
      <c r="P20"/>
      <c r="Q20"/>
      <c r="R20"/>
      <c r="S20"/>
      <c r="T20"/>
      <c r="U20"/>
      <c r="V20"/>
      <c r="W20"/>
      <c r="X20"/>
      <c r="IT20"/>
      <c r="IU20"/>
      <c r="IV20"/>
    </row>
    <row r="21" spans="1:256" s="16" customFormat="1" ht="12.75">
      <c r="A21" s="32">
        <v>393.2396</v>
      </c>
      <c r="B21" s="17">
        <f>0.3048*1368</f>
        <v>416.9664</v>
      </c>
      <c r="C21" s="19" t="s">
        <v>256</v>
      </c>
      <c r="D21" s="19"/>
      <c r="E21" s="39">
        <v>0.6944444444444444</v>
      </c>
      <c r="F21" s="58"/>
      <c r="G21"/>
      <c r="H21" s="36" t="s">
        <v>251</v>
      </c>
      <c r="I21"/>
      <c r="J21"/>
      <c r="K21"/>
      <c r="L21"/>
      <c r="M21"/>
      <c r="N21"/>
      <c r="O21"/>
      <c r="P21"/>
      <c r="Q21"/>
      <c r="R21"/>
      <c r="S21"/>
      <c r="T21"/>
      <c r="U21"/>
      <c r="V21"/>
      <c r="W21"/>
      <c r="X21"/>
      <c r="IT21"/>
      <c r="IU21"/>
      <c r="IV21"/>
    </row>
    <row r="22" spans="1:256" s="16" customFormat="1" ht="12.75">
      <c r="A22" s="32">
        <v>478.5166</v>
      </c>
      <c r="B22" s="17">
        <f>0.3048*362</f>
        <v>110.33760000000001</v>
      </c>
      <c r="C22" s="19" t="s">
        <v>257</v>
      </c>
      <c r="D22" s="19"/>
      <c r="E22" s="39">
        <v>0.7465277777777778</v>
      </c>
      <c r="F22" s="58"/>
      <c r="G22"/>
      <c r="H22" s="36" t="s">
        <v>251</v>
      </c>
      <c r="I22"/>
      <c r="J22"/>
      <c r="K22"/>
      <c r="L22"/>
      <c r="M22"/>
      <c r="N22"/>
      <c r="O22"/>
      <c r="P22"/>
      <c r="Q22"/>
      <c r="R22"/>
      <c r="S22"/>
      <c r="T22"/>
      <c r="U22"/>
      <c r="V22"/>
      <c r="W22"/>
      <c r="X22"/>
      <c r="IT22"/>
      <c r="IU22"/>
      <c r="IV22"/>
    </row>
    <row r="23" spans="1:256" s="16" customFormat="1" ht="12.75">
      <c r="A23" s="32">
        <v>572.804</v>
      </c>
      <c r="B23" s="17">
        <f>0.3048*448</f>
        <v>136.5504</v>
      </c>
      <c r="C23" s="19" t="s">
        <v>258</v>
      </c>
      <c r="D23" s="19" t="s">
        <v>246</v>
      </c>
      <c r="E23" s="39">
        <v>0.8333333333333334</v>
      </c>
      <c r="F23" s="58"/>
      <c r="G23"/>
      <c r="H23" s="39">
        <v>0.8333333333333334</v>
      </c>
      <c r="I23"/>
      <c r="J23"/>
      <c r="K23"/>
      <c r="L23"/>
      <c r="M23"/>
      <c r="N23"/>
      <c r="O23"/>
      <c r="P23"/>
      <c r="Q23"/>
      <c r="R23"/>
      <c r="S23"/>
      <c r="T23"/>
      <c r="U23"/>
      <c r="V23"/>
      <c r="W23"/>
      <c r="X23"/>
      <c r="IT23"/>
      <c r="IU23"/>
      <c r="IV23"/>
    </row>
    <row r="24" spans="1:253" ht="12.75">
      <c r="A24" s="16"/>
      <c r="C24" s="19" t="s">
        <v>460</v>
      </c>
      <c r="D24" s="19"/>
      <c r="H24" s="19"/>
      <c r="J24" s="19"/>
      <c r="IS24" s="16"/>
    </row>
    <row r="25" spans="1:253" ht="12.75">
      <c r="A25" s="16"/>
      <c r="C25" s="19" t="s">
        <v>290</v>
      </c>
      <c r="D25" s="19"/>
      <c r="E25" s="19"/>
      <c r="G25" s="19"/>
      <c r="H25" s="19"/>
      <c r="I25" s="19"/>
      <c r="IS25" s="16"/>
    </row>
    <row r="26" spans="1:256" s="16" customFormat="1" ht="12.75">
      <c r="A26"/>
      <c r="B26"/>
      <c r="C26" t="s">
        <v>488</v>
      </c>
      <c r="D26"/>
      <c r="E26"/>
      <c r="F26"/>
      <c r="G26"/>
      <c r="H26"/>
      <c r="I26"/>
      <c r="J26"/>
      <c r="K26"/>
      <c r="L26"/>
      <c r="M26"/>
      <c r="N26"/>
      <c r="O26"/>
      <c r="P26"/>
      <c r="Q26"/>
      <c r="R26"/>
      <c r="S26"/>
      <c r="T26"/>
      <c r="U26"/>
      <c r="V26"/>
      <c r="W26"/>
      <c r="X26"/>
      <c r="IT26"/>
      <c r="IU26"/>
      <c r="IV26"/>
    </row>
    <row r="27" spans="1:256" s="16" customFormat="1" ht="12.75">
      <c r="A27"/>
      <c r="B27"/>
      <c r="C27" t="s">
        <v>489</v>
      </c>
      <c r="D27"/>
      <c r="E27"/>
      <c r="F27"/>
      <c r="G27"/>
      <c r="H27"/>
      <c r="I27"/>
      <c r="J27"/>
      <c r="K27"/>
      <c r="L27"/>
      <c r="M27"/>
      <c r="N27"/>
      <c r="O27"/>
      <c r="P27"/>
      <c r="Q27"/>
      <c r="R27"/>
      <c r="S27"/>
      <c r="T27"/>
      <c r="U27"/>
      <c r="V27"/>
      <c r="W27"/>
      <c r="X27"/>
      <c r="IT27"/>
      <c r="IU27"/>
      <c r="IV27"/>
    </row>
    <row r="28" spans="1:256" s="16" customFormat="1" ht="12.75">
      <c r="A28"/>
      <c r="B28"/>
      <c r="C28" s="2" t="s">
        <v>490</v>
      </c>
      <c r="D28"/>
      <c r="E28"/>
      <c r="F28"/>
      <c r="G28"/>
      <c r="H28"/>
      <c r="I28"/>
      <c r="J28"/>
      <c r="K28"/>
      <c r="L28"/>
      <c r="M28"/>
      <c r="N28"/>
      <c r="O28"/>
      <c r="P28"/>
      <c r="Q28"/>
      <c r="R28"/>
      <c r="S28"/>
      <c r="T28"/>
      <c r="U28"/>
      <c r="V28"/>
      <c r="W28"/>
      <c r="X28"/>
      <c r="IT28"/>
      <c r="IU28"/>
      <c r="IV28"/>
    </row>
    <row r="29" spans="1:256" s="16" customFormat="1" ht="12.75">
      <c r="A29"/>
      <c r="B29"/>
      <c r="C29"/>
      <c r="D29"/>
      <c r="E29"/>
      <c r="F29"/>
      <c r="G29"/>
      <c r="H29"/>
      <c r="I29"/>
      <c r="J29"/>
      <c r="K29"/>
      <c r="L29"/>
      <c r="M29"/>
      <c r="N29"/>
      <c r="O29"/>
      <c r="P29"/>
      <c r="Q29"/>
      <c r="R29"/>
      <c r="S29"/>
      <c r="T29"/>
      <c r="U29"/>
      <c r="V29"/>
      <c r="W29"/>
      <c r="X29"/>
      <c r="IT29"/>
      <c r="IU29"/>
      <c r="IV29"/>
    </row>
    <row r="30" spans="1:256" s="16" customFormat="1" ht="12.75">
      <c r="A30"/>
      <c r="B30"/>
      <c r="C30"/>
      <c r="D30"/>
      <c r="E30">
        <v>9</v>
      </c>
      <c r="F30">
        <v>9</v>
      </c>
      <c r="G30"/>
      <c r="H30"/>
      <c r="I30">
        <v>1</v>
      </c>
      <c r="J30">
        <v>3</v>
      </c>
      <c r="K30"/>
      <c r="L30"/>
      <c r="M30"/>
      <c r="N30"/>
      <c r="O30"/>
      <c r="P30"/>
      <c r="Q30"/>
      <c r="R30"/>
      <c r="S30"/>
      <c r="T30"/>
      <c r="U30"/>
      <c r="V30"/>
      <c r="W30"/>
      <c r="X30"/>
      <c r="IT30"/>
      <c r="IU30"/>
      <c r="IV30"/>
    </row>
    <row r="31" spans="1:256" s="16" customFormat="1" ht="12.75">
      <c r="A31" s="50" t="s">
        <v>2</v>
      </c>
      <c r="B31" s="36" t="s">
        <v>222</v>
      </c>
      <c r="C31" s="42" t="s">
        <v>237</v>
      </c>
      <c r="D31" s="19"/>
      <c r="E31" s="57" t="s">
        <v>483</v>
      </c>
      <c r="F31" s="15" t="s">
        <v>96</v>
      </c>
      <c r="G31"/>
      <c r="H31" s="57" t="s">
        <v>182</v>
      </c>
      <c r="I31" s="36" t="s">
        <v>83</v>
      </c>
      <c r="J31" s="15" t="s">
        <v>88</v>
      </c>
      <c r="K31"/>
      <c r="L31"/>
      <c r="M31"/>
      <c r="N31"/>
      <c r="O31"/>
      <c r="P31"/>
      <c r="Q31"/>
      <c r="R31"/>
      <c r="S31"/>
      <c r="T31"/>
      <c r="U31"/>
      <c r="V31"/>
      <c r="W31"/>
      <c r="X31"/>
      <c r="IT31"/>
      <c r="IU31"/>
      <c r="IV31"/>
    </row>
    <row r="32" spans="2:256" s="16" customFormat="1" ht="12.75">
      <c r="B32"/>
      <c r="C32" s="35" t="s">
        <v>484</v>
      </c>
      <c r="D32" s="19"/>
      <c r="E32" s="43" t="s">
        <v>142</v>
      </c>
      <c r="F32" s="15" t="s">
        <v>192</v>
      </c>
      <c r="G32"/>
      <c r="H32" s="23" t="s">
        <v>187</v>
      </c>
      <c r="I32" s="23" t="s">
        <v>180</v>
      </c>
      <c r="J32" s="11" t="s">
        <v>191</v>
      </c>
      <c r="K32"/>
      <c r="L32"/>
      <c r="M32"/>
      <c r="N32"/>
      <c r="O32"/>
      <c r="P32"/>
      <c r="Q32"/>
      <c r="R32"/>
      <c r="S32"/>
      <c r="T32"/>
      <c r="U32"/>
      <c r="V32"/>
      <c r="W32"/>
      <c r="X32"/>
      <c r="IT32"/>
      <c r="IU32"/>
      <c r="IV32"/>
    </row>
    <row r="33" spans="2:256" s="16" customFormat="1" ht="12.75">
      <c r="B33"/>
      <c r="C33" s="19"/>
      <c r="D33" s="19"/>
      <c r="E33" s="43" t="s">
        <v>82</v>
      </c>
      <c r="F33" s="43" t="s">
        <v>148</v>
      </c>
      <c r="G33"/>
      <c r="H33" s="36" t="s">
        <v>184</v>
      </c>
      <c r="I33" s="43" t="s">
        <v>159</v>
      </c>
      <c r="J33" s="43" t="s">
        <v>148</v>
      </c>
      <c r="K33"/>
      <c r="L33"/>
      <c r="M33"/>
      <c r="N33"/>
      <c r="O33"/>
      <c r="P33"/>
      <c r="Q33"/>
      <c r="R33"/>
      <c r="S33"/>
      <c r="T33"/>
      <c r="U33"/>
      <c r="V33"/>
      <c r="W33"/>
      <c r="X33"/>
      <c r="IT33"/>
      <c r="IU33"/>
      <c r="IV33"/>
    </row>
    <row r="34" spans="1:256" s="16" customFormat="1" ht="12.75">
      <c r="A34" s="32">
        <f>A23-A23</f>
        <v>0</v>
      </c>
      <c r="B34" s="17">
        <f>B23-B23</f>
        <v>0</v>
      </c>
      <c r="C34" s="19" t="s">
        <v>258</v>
      </c>
      <c r="D34" s="19" t="s">
        <v>241</v>
      </c>
      <c r="E34" s="39">
        <v>0.3541666666666667</v>
      </c>
      <c r="F34" s="58"/>
      <c r="G34"/>
      <c r="H34"/>
      <c r="I34" s="39">
        <v>0.34375</v>
      </c>
      <c r="J34" s="22"/>
      <c r="K34"/>
      <c r="L34"/>
      <c r="M34"/>
      <c r="N34"/>
      <c r="O34"/>
      <c r="P34"/>
      <c r="Q34"/>
      <c r="R34"/>
      <c r="S34"/>
      <c r="T34"/>
      <c r="U34"/>
      <c r="V34"/>
      <c r="W34"/>
      <c r="X34"/>
      <c r="IT34"/>
      <c r="IU34"/>
      <c r="IV34"/>
    </row>
    <row r="35" spans="1:256" s="16" customFormat="1" ht="12.75">
      <c r="A35" s="32">
        <f>A23-A22</f>
        <v>94.28739999999999</v>
      </c>
      <c r="B35" s="17">
        <f>B22</f>
        <v>110.33760000000001</v>
      </c>
      <c r="C35" s="19" t="s">
        <v>257</v>
      </c>
      <c r="D35" s="19"/>
      <c r="E35" s="39">
        <v>0.4375</v>
      </c>
      <c r="F35" s="58"/>
      <c r="G35"/>
      <c r="H35"/>
      <c r="I35" s="36" t="s">
        <v>251</v>
      </c>
      <c r="J35" s="22"/>
      <c r="K35"/>
      <c r="L35"/>
      <c r="M35"/>
      <c r="N35"/>
      <c r="O35"/>
      <c r="P35"/>
      <c r="Q35"/>
      <c r="R35"/>
      <c r="S35"/>
      <c r="T35"/>
      <c r="U35"/>
      <c r="V35"/>
      <c r="W35"/>
      <c r="X35"/>
      <c r="IT35"/>
      <c r="IU35"/>
      <c r="IV35"/>
    </row>
    <row r="36" spans="1:256" s="16" customFormat="1" ht="12.75">
      <c r="A36" s="32">
        <f>A23-A21</f>
        <v>179.56439999999998</v>
      </c>
      <c r="B36" s="17">
        <f>B21</f>
        <v>416.9664</v>
      </c>
      <c r="C36" s="19" t="s">
        <v>256</v>
      </c>
      <c r="D36" s="19"/>
      <c r="E36" s="39">
        <v>0.4895833333333333</v>
      </c>
      <c r="F36" s="58"/>
      <c r="G36"/>
      <c r="H36"/>
      <c r="I36" s="36" t="s">
        <v>251</v>
      </c>
      <c r="J36" s="22"/>
      <c r="K36"/>
      <c r="L36"/>
      <c r="M36"/>
      <c r="N36"/>
      <c r="O36"/>
      <c r="P36"/>
      <c r="Q36"/>
      <c r="R36"/>
      <c r="S36"/>
      <c r="T36"/>
      <c r="U36"/>
      <c r="V36"/>
      <c r="W36"/>
      <c r="X36"/>
      <c r="IT36"/>
      <c r="IU36"/>
      <c r="IV36"/>
    </row>
    <row r="37" spans="1:256" s="16" customFormat="1" ht="12.75">
      <c r="A37" s="32">
        <f>A23-A20</f>
        <v>197.2634</v>
      </c>
      <c r="B37" s="17">
        <f>B19</f>
        <v>527.9136</v>
      </c>
      <c r="C37" s="39" t="str">
        <f>C38</f>
        <v>Denali</v>
      </c>
      <c r="D37" s="19" t="s">
        <v>246</v>
      </c>
      <c r="E37" s="39">
        <f>E38</f>
        <v>0.5208333333333334</v>
      </c>
      <c r="F37"/>
      <c r="G37"/>
      <c r="H37"/>
      <c r="I37" s="39">
        <v>0.5069444444444444</v>
      </c>
      <c r="J37"/>
      <c r="K37"/>
      <c r="L37"/>
      <c r="M37"/>
      <c r="N37"/>
      <c r="O37"/>
      <c r="P37"/>
      <c r="Q37"/>
      <c r="R37"/>
      <c r="S37"/>
      <c r="T37"/>
      <c r="U37"/>
      <c r="V37"/>
      <c r="W37"/>
      <c r="X37"/>
      <c r="IT37"/>
      <c r="IU37"/>
      <c r="IV37"/>
    </row>
    <row r="38" spans="1:256" s="16" customFormat="1" ht="12.75">
      <c r="A38" s="32">
        <f>A23-A19</f>
        <v>197.2634</v>
      </c>
      <c r="B38" s="17">
        <f>B37</f>
        <v>527.9136</v>
      </c>
      <c r="C38" t="s">
        <v>444</v>
      </c>
      <c r="D38" s="19" t="s">
        <v>241</v>
      </c>
      <c r="E38" s="39">
        <v>0.5208333333333334</v>
      </c>
      <c r="F38" s="58"/>
      <c r="G38"/>
      <c r="H38" s="39">
        <v>0.4270833333333333</v>
      </c>
      <c r="I38" s="39">
        <v>0.5208333333333334</v>
      </c>
      <c r="J38" s="22"/>
      <c r="K38"/>
      <c r="L38"/>
      <c r="M38"/>
      <c r="N38"/>
      <c r="O38"/>
      <c r="P38"/>
      <c r="Q38"/>
      <c r="R38"/>
      <c r="S38"/>
      <c r="T38"/>
      <c r="U38"/>
      <c r="V38"/>
      <c r="W38"/>
      <c r="X38"/>
      <c r="IT38"/>
      <c r="IU38"/>
      <c r="IV38"/>
    </row>
    <row r="39" spans="1:256" s="16" customFormat="1" ht="12.75">
      <c r="A39" s="32">
        <f>A23-A18</f>
        <v>303.9401</v>
      </c>
      <c r="B39" s="17">
        <f>B18</f>
        <v>514.5024000000001</v>
      </c>
      <c r="C39" s="19" t="s">
        <v>252</v>
      </c>
      <c r="D39" s="47" t="s">
        <v>286</v>
      </c>
      <c r="E39" s="39">
        <v>0.6145833333333334</v>
      </c>
      <c r="F39" s="39">
        <v>0.6145833333333334</v>
      </c>
      <c r="G39"/>
      <c r="H39" s="36" t="s">
        <v>251</v>
      </c>
      <c r="I39" s="36" t="s">
        <v>251</v>
      </c>
      <c r="J39" s="39">
        <v>0.6666666666666666</v>
      </c>
      <c r="K39"/>
      <c r="L39"/>
      <c r="M39"/>
      <c r="N39"/>
      <c r="O39"/>
      <c r="P39"/>
      <c r="Q39"/>
      <c r="R39"/>
      <c r="S39"/>
      <c r="T39"/>
      <c r="U39"/>
      <c r="V39"/>
      <c r="W39"/>
      <c r="X39"/>
      <c r="IT39"/>
      <c r="IU39"/>
      <c r="IV39"/>
    </row>
    <row r="40" spans="1:256" s="16" customFormat="1" ht="12.75">
      <c r="A40" s="32">
        <f>A23-A17</f>
        <v>316.1685</v>
      </c>
      <c r="B40" s="17">
        <f>B17</f>
        <v>390.144</v>
      </c>
      <c r="C40" s="19" t="s">
        <v>313</v>
      </c>
      <c r="D40" s="47" t="s">
        <v>286</v>
      </c>
      <c r="E40" s="39">
        <v>0.6284722222222222</v>
      </c>
      <c r="F40" s="39">
        <f>E40</f>
        <v>0.6284722222222222</v>
      </c>
      <c r="G40"/>
      <c r="H40" s="36" t="s">
        <v>251</v>
      </c>
      <c r="I40" s="36" t="s">
        <v>251</v>
      </c>
      <c r="J40" s="39">
        <v>0.6805555555555556</v>
      </c>
      <c r="K40"/>
      <c r="L40"/>
      <c r="M40"/>
      <c r="N40"/>
      <c r="O40"/>
      <c r="P40"/>
      <c r="Q40"/>
      <c r="R40"/>
      <c r="S40"/>
      <c r="T40"/>
      <c r="U40"/>
      <c r="V40"/>
      <c r="W40"/>
      <c r="X40"/>
      <c r="IT40"/>
      <c r="IU40"/>
      <c r="IV40"/>
    </row>
    <row r="41" spans="1:256" s="16" customFormat="1" ht="12.75">
      <c r="A41" s="34">
        <f>A23-A16</f>
        <v>322.284</v>
      </c>
      <c r="B41" s="17">
        <f>B16</f>
        <v>304.12</v>
      </c>
      <c r="C41" t="s">
        <v>487</v>
      </c>
      <c r="D41" s="47" t="s">
        <v>286</v>
      </c>
      <c r="E41" s="39">
        <v>0.6340277777777777</v>
      </c>
      <c r="F41" s="39">
        <f>E41</f>
        <v>0.6340277777777777</v>
      </c>
      <c r="G41"/>
      <c r="H41" s="36" t="s">
        <v>251</v>
      </c>
      <c r="I41" s="36" t="s">
        <v>251</v>
      </c>
      <c r="J41" s="39">
        <v>0.7222222222222222</v>
      </c>
      <c r="K41"/>
      <c r="L41"/>
      <c r="M41"/>
      <c r="N41"/>
      <c r="O41"/>
      <c r="P41"/>
      <c r="Q41"/>
      <c r="R41"/>
      <c r="S41"/>
      <c r="T41"/>
      <c r="U41"/>
      <c r="V41"/>
      <c r="W41"/>
      <c r="X41"/>
      <c r="IT41"/>
      <c r="IU41"/>
      <c r="IV41"/>
    </row>
    <row r="42" spans="1:256" s="16" customFormat="1" ht="12.75">
      <c r="A42" s="32">
        <f>A23-A15</f>
        <v>324.85709999999995</v>
      </c>
      <c r="B42" s="17">
        <f>B15</f>
        <v>267.9192</v>
      </c>
      <c r="C42" s="19" t="s">
        <v>312</v>
      </c>
      <c r="D42" s="47" t="s">
        <v>286</v>
      </c>
      <c r="E42" s="39">
        <v>0.6388888888888888</v>
      </c>
      <c r="F42" s="39">
        <f>E42</f>
        <v>0.6388888888888888</v>
      </c>
      <c r="G42"/>
      <c r="H42" s="36" t="s">
        <v>251</v>
      </c>
      <c r="I42" s="36" t="s">
        <v>251</v>
      </c>
      <c r="J42" s="39">
        <v>0.725</v>
      </c>
      <c r="K42"/>
      <c r="L42"/>
      <c r="M42"/>
      <c r="N42"/>
      <c r="O42"/>
      <c r="P42"/>
      <c r="Q42"/>
      <c r="R42"/>
      <c r="S42"/>
      <c r="T42"/>
      <c r="U42"/>
      <c r="V42"/>
      <c r="W42"/>
      <c r="X42"/>
      <c r="IT42"/>
      <c r="IU42"/>
      <c r="IV42"/>
    </row>
    <row r="43" spans="1:256" s="16" customFormat="1" ht="12.75">
      <c r="A43" s="32">
        <f>A23-A14</f>
        <v>333.22389999999996</v>
      </c>
      <c r="B43" s="17">
        <f>B14</f>
        <v>222.80880000000002</v>
      </c>
      <c r="C43" s="19" t="s">
        <v>311</v>
      </c>
      <c r="D43" s="47" t="s">
        <v>286</v>
      </c>
      <c r="E43" s="39">
        <v>0.65625</v>
      </c>
      <c r="F43" s="39">
        <f>E43</f>
        <v>0.65625</v>
      </c>
      <c r="G43"/>
      <c r="H43" s="36" t="s">
        <v>251</v>
      </c>
      <c r="I43" s="36" t="s">
        <v>251</v>
      </c>
      <c r="J43" s="39">
        <v>0.7326388888888888</v>
      </c>
      <c r="K43"/>
      <c r="L43"/>
      <c r="M43"/>
      <c r="N43"/>
      <c r="O43"/>
      <c r="P43"/>
      <c r="Q43"/>
      <c r="R43"/>
      <c r="S43"/>
      <c r="T43"/>
      <c r="U43"/>
      <c r="V43"/>
      <c r="W43"/>
      <c r="X43"/>
      <c r="IT43"/>
      <c r="IU43"/>
      <c r="IV43"/>
    </row>
    <row r="44" spans="1:256" s="16" customFormat="1" ht="12.75">
      <c r="A44" s="32">
        <f>A23-A13</f>
        <v>342.0734</v>
      </c>
      <c r="B44" s="17">
        <f>B13</f>
        <v>189.2808</v>
      </c>
      <c r="C44" s="19" t="s">
        <v>310</v>
      </c>
      <c r="D44" s="47" t="s">
        <v>286</v>
      </c>
      <c r="E44" s="39">
        <v>0.6631944444444444</v>
      </c>
      <c r="F44" s="39">
        <f>E44</f>
        <v>0.6631944444444444</v>
      </c>
      <c r="G44"/>
      <c r="H44" s="36" t="s">
        <v>251</v>
      </c>
      <c r="I44" s="36" t="s">
        <v>251</v>
      </c>
      <c r="J44" s="39">
        <v>0.7430555555555556</v>
      </c>
      <c r="K44"/>
      <c r="L44"/>
      <c r="M44"/>
      <c r="N44"/>
      <c r="O44"/>
      <c r="P44"/>
      <c r="Q44"/>
      <c r="R44"/>
      <c r="S44"/>
      <c r="T44"/>
      <c r="U44"/>
      <c r="V44"/>
      <c r="W44"/>
      <c r="X44"/>
      <c r="IT44"/>
      <c r="IU44"/>
      <c r="IV44"/>
    </row>
    <row r="45" spans="1:256" s="16" customFormat="1" ht="12.75">
      <c r="A45" s="34">
        <f>A23-A12</f>
        <v>353.06399999999996</v>
      </c>
      <c r="B45" s="17">
        <f>B12</f>
        <v>172.31</v>
      </c>
      <c r="C45" t="s">
        <v>486</v>
      </c>
      <c r="D45" s="47" t="s">
        <v>286</v>
      </c>
      <c r="E45" s="39">
        <v>0.66875</v>
      </c>
      <c r="F45" s="39">
        <f>E45</f>
        <v>0.66875</v>
      </c>
      <c r="G45"/>
      <c r="H45" s="36" t="s">
        <v>251</v>
      </c>
      <c r="I45" s="36" t="s">
        <v>251</v>
      </c>
      <c r="J45" s="39">
        <v>0.7486111111111111</v>
      </c>
      <c r="K45"/>
      <c r="L45"/>
      <c r="M45"/>
      <c r="N45"/>
      <c r="O45"/>
      <c r="P45"/>
      <c r="Q45"/>
      <c r="R45"/>
      <c r="S45"/>
      <c r="T45"/>
      <c r="U45"/>
      <c r="V45"/>
      <c r="W45"/>
      <c r="X45"/>
      <c r="IT45"/>
      <c r="IU45"/>
      <c r="IV45"/>
    </row>
    <row r="46" spans="1:253" ht="12.75">
      <c r="A46" s="32">
        <f>A23-A11</f>
        <v>356.8762</v>
      </c>
      <c r="B46" s="17">
        <f>B11</f>
        <v>166.4208</v>
      </c>
      <c r="C46" s="19" t="s">
        <v>250</v>
      </c>
      <c r="D46" s="47" t="s">
        <v>286</v>
      </c>
      <c r="E46" s="39">
        <v>0.6770833333333334</v>
      </c>
      <c r="F46" s="39">
        <f>E46</f>
        <v>0.6770833333333334</v>
      </c>
      <c r="H46" s="36" t="s">
        <v>251</v>
      </c>
      <c r="I46" s="36" t="s">
        <v>251</v>
      </c>
      <c r="J46" s="39">
        <v>0.7569444444444444</v>
      </c>
      <c r="IS46" s="16"/>
    </row>
    <row r="47" spans="1:256" s="16" customFormat="1" ht="12.75">
      <c r="A47" s="32">
        <f>A23-A10</f>
        <v>376.66689999999994</v>
      </c>
      <c r="B47" s="17">
        <f>B10</f>
        <v>140.5128</v>
      </c>
      <c r="C47" s="19" t="s">
        <v>309</v>
      </c>
      <c r="D47" s="47" t="s">
        <v>286</v>
      </c>
      <c r="E47" s="39">
        <v>0.6909722222222222</v>
      </c>
      <c r="F47" s="39">
        <f>E47</f>
        <v>0.6909722222222222</v>
      </c>
      <c r="G47"/>
      <c r="H47" s="36" t="s">
        <v>251</v>
      </c>
      <c r="I47" s="36" t="s">
        <v>251</v>
      </c>
      <c r="J47" s="39">
        <v>0.7673611111111112</v>
      </c>
      <c r="K47"/>
      <c r="L47"/>
      <c r="M47"/>
      <c r="N47"/>
      <c r="O47"/>
      <c r="P47"/>
      <c r="Q47"/>
      <c r="R47"/>
      <c r="S47"/>
      <c r="T47"/>
      <c r="U47"/>
      <c r="V47"/>
      <c r="W47"/>
      <c r="X47"/>
      <c r="IT47"/>
      <c r="IU47"/>
      <c r="IV47"/>
    </row>
    <row r="48" spans="1:256" s="16" customFormat="1" ht="12.75">
      <c r="A48" s="32">
        <f>A23-A9</f>
        <v>391.9524</v>
      </c>
      <c r="B48" s="17">
        <f>B8</f>
        <v>107.89920000000001</v>
      </c>
      <c r="C48" s="19" t="s">
        <v>249</v>
      </c>
      <c r="D48" s="19" t="s">
        <v>246</v>
      </c>
      <c r="E48" s="39">
        <f>E49</f>
        <v>0.7013888888888888</v>
      </c>
      <c r="F48" s="39">
        <f>F49</f>
        <v>0.7013888888888888</v>
      </c>
      <c r="G48"/>
      <c r="H48" s="39">
        <v>0.59375</v>
      </c>
      <c r="I48" s="39">
        <v>0.6944444444444444</v>
      </c>
      <c r="J48" s="39">
        <v>0.7916666666666666</v>
      </c>
      <c r="K48"/>
      <c r="L48"/>
      <c r="M48"/>
      <c r="N48"/>
      <c r="O48"/>
      <c r="P48"/>
      <c r="Q48"/>
      <c r="R48"/>
      <c r="S48"/>
      <c r="T48"/>
      <c r="U48"/>
      <c r="V48"/>
      <c r="W48"/>
      <c r="X48"/>
      <c r="IT48"/>
      <c r="IU48"/>
      <c r="IV48"/>
    </row>
    <row r="49" spans="1:256" s="16" customFormat="1" ht="12.75">
      <c r="A49" s="32">
        <f>A23-A8</f>
        <v>391.9524</v>
      </c>
      <c r="B49" s="17">
        <f>B48</f>
        <v>107.89920000000001</v>
      </c>
      <c r="C49" s="19" t="s">
        <v>249</v>
      </c>
      <c r="D49" s="19" t="s">
        <v>241</v>
      </c>
      <c r="E49" s="39">
        <v>0.7013888888888888</v>
      </c>
      <c r="F49" s="39">
        <v>0.7013888888888888</v>
      </c>
      <c r="G49"/>
      <c r="H49" s="39">
        <v>0.59375</v>
      </c>
      <c r="I49" s="39">
        <v>0.7048611111111112</v>
      </c>
      <c r="J49"/>
      <c r="K49"/>
      <c r="L49"/>
      <c r="M49"/>
      <c r="N49"/>
      <c r="O49"/>
      <c r="P49"/>
      <c r="Q49"/>
      <c r="R49"/>
      <c r="S49"/>
      <c r="T49"/>
      <c r="U49"/>
      <c r="V49"/>
      <c r="W49"/>
      <c r="X49"/>
      <c r="IT49"/>
      <c r="IU49"/>
      <c r="IV49"/>
    </row>
    <row r="50" spans="1:253" ht="12.75">
      <c r="A50" s="32">
        <f>A23-A7</f>
        <v>499.5945</v>
      </c>
      <c r="B50" s="17">
        <f>B6</f>
        <v>103.3272</v>
      </c>
      <c r="C50" t="s">
        <v>248</v>
      </c>
      <c r="D50" s="39" t="s">
        <v>246</v>
      </c>
      <c r="E50" s="39">
        <f>E51</f>
        <v>0.7673611111111112</v>
      </c>
      <c r="F50" s="39">
        <f>F51</f>
        <v>0.7673611111111112</v>
      </c>
      <c r="H50" s="36" t="s">
        <v>251</v>
      </c>
      <c r="I50" s="39">
        <v>0.7569444444444444</v>
      </c>
      <c r="IS50" s="16"/>
    </row>
    <row r="51" spans="1:256" s="16" customFormat="1" ht="12.75">
      <c r="A51" s="18">
        <f>A23-A6</f>
        <v>499.5945</v>
      </c>
      <c r="B51" s="17">
        <f>B50</f>
        <v>103.3272</v>
      </c>
      <c r="C51" s="19" t="s">
        <v>248</v>
      </c>
      <c r="D51" t="s">
        <v>241</v>
      </c>
      <c r="E51" s="39">
        <v>0.7673611111111112</v>
      </c>
      <c r="F51" s="39">
        <v>0.7673611111111112</v>
      </c>
      <c r="G51"/>
      <c r="H51" s="36" t="s">
        <v>251</v>
      </c>
      <c r="I51" s="89" t="s">
        <v>491</v>
      </c>
      <c r="J51" s="61"/>
      <c r="K51"/>
      <c r="L51"/>
      <c r="M51"/>
      <c r="N51"/>
      <c r="O51"/>
      <c r="P51"/>
      <c r="Q51"/>
      <c r="R51"/>
      <c r="S51"/>
      <c r="T51"/>
      <c r="U51"/>
      <c r="V51"/>
      <c r="W51"/>
      <c r="X51"/>
      <c r="IT51"/>
      <c r="IU51"/>
      <c r="IV51"/>
    </row>
    <row r="52" spans="1:256" s="16" customFormat="1" ht="12.75">
      <c r="A52" s="32">
        <f>A23-A5</f>
        <v>572.804</v>
      </c>
      <c r="B52" s="17">
        <f>B5</f>
        <v>11.5824</v>
      </c>
      <c r="C52" s="19" t="s">
        <v>245</v>
      </c>
      <c r="D52" s="19" t="s">
        <v>246</v>
      </c>
      <c r="E52" s="39">
        <v>0.8333333333333334</v>
      </c>
      <c r="F52" s="39">
        <v>0.8333333333333334</v>
      </c>
      <c r="G52"/>
      <c r="H52" s="39">
        <v>0.7291666666666666</v>
      </c>
      <c r="I52" s="39">
        <v>0.8333333333333334</v>
      </c>
      <c r="J52"/>
      <c r="K52"/>
      <c r="L52"/>
      <c r="M52"/>
      <c r="N52"/>
      <c r="O52"/>
      <c r="P52"/>
      <c r="Q52"/>
      <c r="R52"/>
      <c r="S52"/>
      <c r="T52"/>
      <c r="U52"/>
      <c r="V52"/>
      <c r="W52"/>
      <c r="X52"/>
      <c r="IT52"/>
      <c r="IU52"/>
      <c r="IV52"/>
    </row>
    <row r="53" spans="2:256" s="16" customFormat="1" ht="12.75">
      <c r="B53"/>
      <c r="C53" s="16" t="s">
        <v>445</v>
      </c>
      <c r="D53" s="19"/>
      <c r="E53"/>
      <c r="F53"/>
      <c r="G53"/>
      <c r="H53"/>
      <c r="I53"/>
      <c r="J53"/>
      <c r="K53"/>
      <c r="L53"/>
      <c r="M53"/>
      <c r="N53"/>
      <c r="O53"/>
      <c r="P53"/>
      <c r="Q53"/>
      <c r="R53"/>
      <c r="S53"/>
      <c r="T53"/>
      <c r="U53"/>
      <c r="V53"/>
      <c r="W53"/>
      <c r="X53"/>
      <c r="IT53"/>
      <c r="IU53"/>
      <c r="IV53"/>
    </row>
    <row r="54" spans="2:256" s="16" customFormat="1" ht="12.75">
      <c r="B54"/>
      <c r="C54" s="19" t="s">
        <v>290</v>
      </c>
      <c r="D54" s="19"/>
      <c r="E54" s="19"/>
      <c r="F54" s="19"/>
      <c r="G54" s="19"/>
      <c r="H54" s="19"/>
      <c r="I54" s="21"/>
      <c r="J54"/>
      <c r="K54"/>
      <c r="L54"/>
      <c r="M54"/>
      <c r="N54"/>
      <c r="O54"/>
      <c r="P54"/>
      <c r="Q54"/>
      <c r="R54"/>
      <c r="S54"/>
      <c r="T54"/>
      <c r="U54"/>
      <c r="V54"/>
      <c r="W54"/>
      <c r="X54"/>
      <c r="IT54"/>
      <c r="IU54"/>
      <c r="IV54"/>
    </row>
    <row r="55" spans="2:256" s="16" customFormat="1" ht="12.75">
      <c r="B55"/>
      <c r="C55" t="s">
        <v>488</v>
      </c>
      <c r="D55" s="19"/>
      <c r="E55" s="19"/>
      <c r="F55" s="19"/>
      <c r="G55" s="19"/>
      <c r="H55"/>
      <c r="I55" s="21"/>
      <c r="J55" s="58"/>
      <c r="K55" s="58"/>
      <c r="L55"/>
      <c r="M55"/>
      <c r="N55"/>
      <c r="O55"/>
      <c r="P55"/>
      <c r="Q55"/>
      <c r="R55"/>
      <c r="S55"/>
      <c r="T55"/>
      <c r="U55"/>
      <c r="V55"/>
      <c r="W55"/>
      <c r="X55"/>
      <c r="IT55"/>
      <c r="IU55"/>
      <c r="IV55"/>
    </row>
    <row r="56" spans="2:256" s="16" customFormat="1" ht="12.75">
      <c r="B56"/>
      <c r="C56" t="s">
        <v>489</v>
      </c>
      <c r="D56" s="19"/>
      <c r="E56" s="19"/>
      <c r="F56" s="19"/>
      <c r="G56" s="19"/>
      <c r="H56" s="19"/>
      <c r="I56" s="19"/>
      <c r="J56" s="21"/>
      <c r="K56" s="58"/>
      <c r="L56" s="58"/>
      <c r="M56"/>
      <c r="N56"/>
      <c r="O56"/>
      <c r="IT56"/>
      <c r="IU56"/>
      <c r="IV56"/>
    </row>
    <row r="57" spans="2:256" s="16" customFormat="1" ht="12.75">
      <c r="B57"/>
      <c r="C57" s="2" t="s">
        <v>490</v>
      </c>
      <c r="D57" s="19"/>
      <c r="E57" s="19"/>
      <c r="F57" s="19"/>
      <c r="G57" s="19"/>
      <c r="H57" s="19"/>
      <c r="I57" s="19"/>
      <c r="J57" s="21"/>
      <c r="K57" s="58"/>
      <c r="L57" s="58"/>
      <c r="M57"/>
      <c r="N57"/>
      <c r="O57"/>
      <c r="IT57"/>
      <c r="IU57"/>
      <c r="IV57"/>
    </row>
    <row r="58" spans="2:256" s="16" customFormat="1" ht="12.75">
      <c r="B58"/>
      <c r="C58" s="2"/>
      <c r="D58" s="19"/>
      <c r="E58" s="19"/>
      <c r="F58" s="19"/>
      <c r="G58" s="19"/>
      <c r="H58" s="19"/>
      <c r="I58" s="19"/>
      <c r="J58" s="21"/>
      <c r="K58" s="58"/>
      <c r="L58" s="58"/>
      <c r="M58"/>
      <c r="N58"/>
      <c r="O58"/>
      <c r="IT58"/>
      <c r="IU58"/>
      <c r="IV58"/>
    </row>
    <row r="59" spans="2:256" s="16" customFormat="1" ht="15">
      <c r="B59"/>
      <c r="C59" s="75" t="s">
        <v>447</v>
      </c>
      <c r="D59" s="19"/>
      <c r="E59" s="19"/>
      <c r="F59" s="19"/>
      <c r="G59" s="19"/>
      <c r="H59" s="19"/>
      <c r="I59" s="19"/>
      <c r="J59" s="19"/>
      <c r="K59" s="58"/>
      <c r="L59" s="58"/>
      <c r="M59"/>
      <c r="N59"/>
      <c r="O59"/>
      <c r="IT59"/>
      <c r="IU59"/>
      <c r="IV59"/>
    </row>
    <row r="60" spans="2:256" s="16" customFormat="1" ht="12.75">
      <c r="B60"/>
      <c r="C60" t="s">
        <v>448</v>
      </c>
      <c r="D60" s="19"/>
      <c r="E60" s="19"/>
      <c r="F60" s="19"/>
      <c r="G60" s="19"/>
      <c r="H60" s="19"/>
      <c r="I60" s="19"/>
      <c r="J60" s="19"/>
      <c r="K60"/>
      <c r="L60" s="58"/>
      <c r="M60" s="58"/>
      <c r="N60" s="58"/>
      <c r="O60"/>
      <c r="IT60"/>
      <c r="IU60"/>
      <c r="IV60"/>
    </row>
    <row r="61" spans="2:256" s="16" customFormat="1" ht="12.75">
      <c r="B61"/>
      <c r="C61" t="s">
        <v>449</v>
      </c>
      <c r="D61" s="19"/>
      <c r="E61" s="19"/>
      <c r="F61" s="19"/>
      <c r="G61" s="19"/>
      <c r="H61" s="19"/>
      <c r="I61" s="19"/>
      <c r="J61" s="19"/>
      <c r="K61"/>
      <c r="L61"/>
      <c r="M61"/>
      <c r="N61"/>
      <c r="O61"/>
      <c r="IT61"/>
      <c r="IU61"/>
      <c r="IV61"/>
    </row>
    <row r="62" spans="2:256" s="16" customFormat="1" ht="12.75">
      <c r="B62"/>
      <c r="C62" s="16" t="s">
        <v>450</v>
      </c>
      <c r="D62" s="19"/>
      <c r="E62" s="21"/>
      <c r="F62" s="21"/>
      <c r="G62" s="21"/>
      <c r="H62" s="21"/>
      <c r="I62" s="19"/>
      <c r="J62" s="19"/>
      <c r="K62" s="19"/>
      <c r="L62"/>
      <c r="M62"/>
      <c r="N62"/>
      <c r="O62"/>
      <c r="IT62"/>
      <c r="IU62"/>
      <c r="IV62"/>
    </row>
    <row r="63" spans="2:256" s="16" customFormat="1" ht="12.75">
      <c r="B63"/>
      <c r="D63" s="19"/>
      <c r="E63" s="21"/>
      <c r="F63" s="21"/>
      <c r="G63" s="21"/>
      <c r="H63" s="21"/>
      <c r="I63" s="19"/>
      <c r="J63" s="19"/>
      <c r="K63" s="19"/>
      <c r="L63"/>
      <c r="M63"/>
      <c r="N63"/>
      <c r="O63"/>
      <c r="IT63"/>
      <c r="IU63"/>
      <c r="IV63"/>
    </row>
    <row r="64" spans="2:256" s="16" customFormat="1" ht="12.75">
      <c r="B64"/>
      <c r="C64" s="76" t="s">
        <v>451</v>
      </c>
      <c r="D64" s="19"/>
      <c r="E64" s="21"/>
      <c r="F64" s="21"/>
      <c r="G64" s="21"/>
      <c r="H64" s="21"/>
      <c r="I64" s="19"/>
      <c r="J64" s="19"/>
      <c r="K64" s="19"/>
      <c r="L64"/>
      <c r="M64"/>
      <c r="N64"/>
      <c r="O64"/>
      <c r="IT64"/>
      <c r="IU64"/>
      <c r="IV64"/>
    </row>
    <row r="65" spans="2:256" s="16" customFormat="1" ht="12.75">
      <c r="B65"/>
      <c r="C65" s="19" t="s">
        <v>452</v>
      </c>
      <c r="D65" s="19"/>
      <c r="E65" s="21"/>
      <c r="F65" s="21"/>
      <c r="G65" s="21"/>
      <c r="H65" s="21"/>
      <c r="I65" s="19"/>
      <c r="J65" s="19"/>
      <c r="K65" s="19"/>
      <c r="L65"/>
      <c r="M65"/>
      <c r="N65"/>
      <c r="O65"/>
      <c r="IT65"/>
      <c r="IU65"/>
      <c r="IV65"/>
    </row>
    <row r="66" spans="2:256" s="16" customFormat="1" ht="12.75">
      <c r="B66"/>
      <c r="C66" s="19" t="s">
        <v>453</v>
      </c>
      <c r="D66" s="19"/>
      <c r="E66" s="50"/>
      <c r="F66" s="21"/>
      <c r="G66" s="21"/>
      <c r="H66" s="21"/>
      <c r="I66" s="19"/>
      <c r="J66" s="19"/>
      <c r="K66" s="19"/>
      <c r="L66"/>
      <c r="M66"/>
      <c r="N66"/>
      <c r="O66"/>
      <c r="IT66"/>
      <c r="IU66"/>
      <c r="IV66"/>
    </row>
    <row r="67" spans="2:256" s="16" customFormat="1" ht="12.75">
      <c r="B67"/>
      <c r="C67" s="19" t="s">
        <v>454</v>
      </c>
      <c r="D67" s="19"/>
      <c r="E67" s="50"/>
      <c r="F67" s="21"/>
      <c r="G67" s="21"/>
      <c r="H67" s="21"/>
      <c r="I67" s="19"/>
      <c r="J67" s="19"/>
      <c r="K67" s="19"/>
      <c r="L67"/>
      <c r="M67"/>
      <c r="N67"/>
      <c r="O67"/>
      <c r="IT67"/>
      <c r="IU67"/>
      <c r="IV67"/>
    </row>
    <row r="68" spans="2:256" s="16" customFormat="1" ht="12.75">
      <c r="B68"/>
      <c r="C68"/>
      <c r="D68" s="19"/>
      <c r="E68" s="19"/>
      <c r="F68" s="21"/>
      <c r="G68" s="21"/>
      <c r="H68" s="21"/>
      <c r="I68" s="19"/>
      <c r="J68" s="19"/>
      <c r="K68" s="19"/>
      <c r="L68"/>
      <c r="M68"/>
      <c r="N68"/>
      <c r="O68"/>
      <c r="IT68"/>
      <c r="IU68"/>
      <c r="IV68"/>
    </row>
    <row r="69" spans="2:256" s="16" customFormat="1" ht="12.75">
      <c r="B69"/>
      <c r="C69" s="19"/>
      <c r="D69" s="19"/>
      <c r="E69"/>
      <c r="F69" s="19"/>
      <c r="G69" s="19"/>
      <c r="H69"/>
      <c r="I69" s="19"/>
      <c r="J69"/>
      <c r="K69"/>
      <c r="L69"/>
      <c r="M69"/>
      <c r="N69"/>
      <c r="O69"/>
      <c r="IT69"/>
      <c r="IU69"/>
      <c r="IV69"/>
    </row>
    <row r="70" spans="1:256" s="16" customFormat="1" ht="12.75">
      <c r="A70"/>
      <c r="B70"/>
      <c r="C70"/>
      <c r="D70" s="19"/>
      <c r="E70" s="91" t="s">
        <v>492</v>
      </c>
      <c r="F70" s="23" t="s">
        <v>85</v>
      </c>
      <c r="G70" s="11" t="s">
        <v>85</v>
      </c>
      <c r="H70"/>
      <c r="I70"/>
      <c r="J70"/>
      <c r="K70"/>
      <c r="L70" s="12"/>
      <c r="M70"/>
      <c r="N70"/>
      <c r="O70"/>
      <c r="IT70"/>
      <c r="IU70"/>
      <c r="IV70"/>
    </row>
    <row r="71" spans="1:256" s="16" customFormat="1" ht="12.75">
      <c r="A71" s="50" t="s">
        <v>2</v>
      </c>
      <c r="B71" s="36" t="s">
        <v>222</v>
      </c>
      <c r="C71" s="42" t="s">
        <v>237</v>
      </c>
      <c r="D71" s="19"/>
      <c r="E71" s="23" t="s">
        <v>177</v>
      </c>
      <c r="F71" s="23" t="s">
        <v>188</v>
      </c>
      <c r="G71" s="23" t="s">
        <v>188</v>
      </c>
      <c r="H71"/>
      <c r="I71"/>
      <c r="J71"/>
      <c r="K71"/>
      <c r="L71"/>
      <c r="M71"/>
      <c r="N71"/>
      <c r="O71"/>
      <c r="IT71"/>
      <c r="IU71"/>
      <c r="IV71"/>
    </row>
    <row r="72" spans="2:256" s="16" customFormat="1" ht="12.75">
      <c r="B72"/>
      <c r="C72" s="19"/>
      <c r="D72" s="19"/>
      <c r="E72" s="43" t="s">
        <v>159</v>
      </c>
      <c r="F72" s="43" t="s">
        <v>82</v>
      </c>
      <c r="G72" s="43" t="s">
        <v>82</v>
      </c>
      <c r="H72"/>
      <c r="I72"/>
      <c r="J72"/>
      <c r="K72"/>
      <c r="L72"/>
      <c r="M72"/>
      <c r="N72" s="22"/>
      <c r="O72"/>
      <c r="IT72"/>
      <c r="IU72"/>
      <c r="IV72"/>
    </row>
    <row r="73" spans="1:256" s="16" customFormat="1" ht="12.75">
      <c r="A73" s="32">
        <f>A105-A105</f>
        <v>0</v>
      </c>
      <c r="B73" s="17">
        <f>0.3048*38</f>
        <v>11.5824</v>
      </c>
      <c r="C73" s="19" t="s">
        <v>245</v>
      </c>
      <c r="D73" s="19" t="s">
        <v>241</v>
      </c>
      <c r="E73" s="39">
        <v>0.28125</v>
      </c>
      <c r="F73" s="39">
        <v>0.40625</v>
      </c>
      <c r="G73" s="61"/>
      <c r="H73"/>
      <c r="I73"/>
      <c r="J73"/>
      <c r="K73"/>
      <c r="L73"/>
      <c r="M73"/>
      <c r="N73"/>
      <c r="O73"/>
      <c r="IT73"/>
      <c r="IU73"/>
      <c r="IV73"/>
    </row>
    <row r="74" spans="1:256" s="16" customFormat="1" ht="12.75">
      <c r="A74" s="34">
        <f>A105-A104</f>
        <v>64.03999999999999</v>
      </c>
      <c r="B74" s="17">
        <f>0.3048*40</f>
        <v>12.192</v>
      </c>
      <c r="C74" s="61" t="s">
        <v>244</v>
      </c>
      <c r="D74" s="39" t="s">
        <v>246</v>
      </c>
      <c r="E74" s="39">
        <v>0.3298611111111111</v>
      </c>
      <c r="F74" s="39">
        <v>0.4548611111111111</v>
      </c>
      <c r="G74" s="61"/>
      <c r="H74"/>
      <c r="I74"/>
      <c r="J74"/>
      <c r="K74"/>
      <c r="L74"/>
      <c r="M74"/>
      <c r="N74"/>
      <c r="O74"/>
      <c r="IT74"/>
      <c r="IU74"/>
      <c r="IV74"/>
    </row>
    <row r="75" spans="1:256" s="16" customFormat="1" ht="12.75">
      <c r="A75" s="32">
        <f>A105-A103</f>
        <v>64.03999999999999</v>
      </c>
      <c r="B75" s="17">
        <f>B74</f>
        <v>12.192</v>
      </c>
      <c r="C75" s="19" t="s">
        <v>244</v>
      </c>
      <c r="D75" t="s">
        <v>241</v>
      </c>
      <c r="E75" s="70" t="s">
        <v>493</v>
      </c>
      <c r="F75" s="39">
        <v>0.4583333333333333</v>
      </c>
      <c r="G75" s="61" t="s">
        <v>470</v>
      </c>
      <c r="H75"/>
      <c r="I75"/>
      <c r="J75"/>
      <c r="K75"/>
      <c r="L75"/>
      <c r="M75"/>
      <c r="N75"/>
      <c r="O75"/>
      <c r="IT75"/>
      <c r="IU75"/>
      <c r="IV75"/>
    </row>
    <row r="76" spans="1:256" s="16" customFormat="1" ht="12.75">
      <c r="A76" s="32">
        <f>A105-A102</f>
        <v>80.60999999999999</v>
      </c>
      <c r="B76" s="17">
        <f>0.3048*33</f>
        <v>10.0584</v>
      </c>
      <c r="C76" s="19" t="s">
        <v>270</v>
      </c>
      <c r="D76" s="19" t="s">
        <v>246</v>
      </c>
      <c r="E76" s="36" t="s">
        <v>251</v>
      </c>
      <c r="F76" s="39">
        <v>0.4791666666666667</v>
      </c>
      <c r="G76" s="39">
        <v>0.71875</v>
      </c>
      <c r="H76"/>
      <c r="I76"/>
      <c r="J76"/>
      <c r="K76"/>
      <c r="L76"/>
      <c r="M76" s="12"/>
      <c r="N76"/>
      <c r="O76"/>
      <c r="IT76"/>
      <c r="IU76"/>
      <c r="IV76"/>
    </row>
    <row r="77" spans="1:256" s="16" customFormat="1" ht="12.75">
      <c r="A77" s="32">
        <f>A76</f>
        <v>80.60999999999999</v>
      </c>
      <c r="B77" s="17">
        <f>B76</f>
        <v>10.0584</v>
      </c>
      <c r="C77" s="19" t="s">
        <v>468</v>
      </c>
      <c r="D77" s="19" t="s">
        <v>241</v>
      </c>
      <c r="E77" s="36" t="s">
        <v>251</v>
      </c>
      <c r="F77" s="39">
        <v>0.4826388888888889</v>
      </c>
      <c r="G77" s="39">
        <v>0.7291666666666666</v>
      </c>
      <c r="H77"/>
      <c r="I77"/>
      <c r="J77"/>
      <c r="K77"/>
      <c r="L77"/>
      <c r="M77" s="12"/>
      <c r="N77"/>
      <c r="O77"/>
      <c r="IT77"/>
      <c r="IU77"/>
      <c r="IV77"/>
    </row>
    <row r="78" spans="1:256" s="16" customFormat="1" ht="12.75">
      <c r="A78" s="32">
        <f>(12*1.609)+A77</f>
        <v>99.91799999999998</v>
      </c>
      <c r="B78" s="17">
        <f>0.3048*21</f>
        <v>6.4008</v>
      </c>
      <c r="C78" s="19" t="s">
        <v>269</v>
      </c>
      <c r="D78" s="19" t="s">
        <v>246</v>
      </c>
      <c r="E78" s="36" t="s">
        <v>251</v>
      </c>
      <c r="F78" s="39">
        <v>0.5034722222222222</v>
      </c>
      <c r="G78" s="39">
        <v>0.7534722222222222</v>
      </c>
      <c r="H78"/>
      <c r="I78"/>
      <c r="J78"/>
      <c r="K78"/>
      <c r="L78"/>
      <c r="M78"/>
      <c r="N78"/>
      <c r="O78"/>
      <c r="IT78"/>
      <c r="IU78"/>
      <c r="IV78"/>
    </row>
    <row r="79" spans="1:256" s="16" customFormat="1" ht="12.75">
      <c r="A79" s="32">
        <v>0</v>
      </c>
      <c r="B79" s="17">
        <f>B78</f>
        <v>6.4008</v>
      </c>
      <c r="C79" s="19" t="s">
        <v>269</v>
      </c>
      <c r="D79" s="19" t="s">
        <v>241</v>
      </c>
      <c r="E79" s="36" t="s">
        <v>251</v>
      </c>
      <c r="F79" s="39">
        <v>0.53125</v>
      </c>
      <c r="G79" s="39">
        <v>0.78125</v>
      </c>
      <c r="H79"/>
      <c r="I79"/>
      <c r="J79"/>
      <c r="K79"/>
      <c r="L79"/>
      <c r="M79"/>
      <c r="N79"/>
      <c r="O79"/>
      <c r="IT79"/>
      <c r="IU79"/>
      <c r="IV79"/>
    </row>
    <row r="80" spans="1:256" s="16" customFormat="1" ht="12.75">
      <c r="A80" s="32">
        <f>12*1.609</f>
        <v>19.308</v>
      </c>
      <c r="B80" s="17">
        <f>B77</f>
        <v>10.0584</v>
      </c>
      <c r="C80" s="19" t="s">
        <v>468</v>
      </c>
      <c r="D80" s="19" t="s">
        <v>246</v>
      </c>
      <c r="E80" s="36" t="s">
        <v>251</v>
      </c>
      <c r="F80" s="39">
        <v>0.5520833333333334</v>
      </c>
      <c r="G80" s="39">
        <v>0.7951388888888888</v>
      </c>
      <c r="H80"/>
      <c r="I80"/>
      <c r="J80"/>
      <c r="K80"/>
      <c r="L80"/>
      <c r="M80"/>
      <c r="N80"/>
      <c r="O80"/>
      <c r="IT80"/>
      <c r="IU80"/>
      <c r="IV80"/>
    </row>
    <row r="81" spans="1:256" s="16" customFormat="1" ht="12.75">
      <c r="A81" s="32">
        <f>A105-A97</f>
        <v>80.60999999999999</v>
      </c>
      <c r="B81" s="17">
        <f>B80</f>
        <v>10.0584</v>
      </c>
      <c r="C81" s="19" t="s">
        <v>270</v>
      </c>
      <c r="D81" s="19" t="s">
        <v>241</v>
      </c>
      <c r="E81" s="36" t="s">
        <v>251</v>
      </c>
      <c r="F81" s="39">
        <v>0.5590277777777778</v>
      </c>
      <c r="G81" s="39">
        <v>0.8055555555555556</v>
      </c>
      <c r="H81"/>
      <c r="I81"/>
      <c r="J81"/>
      <c r="K81"/>
      <c r="L81"/>
      <c r="M81"/>
      <c r="N81"/>
      <c r="O81"/>
      <c r="IT81"/>
      <c r="IU81"/>
      <c r="IV81"/>
    </row>
    <row r="82" spans="1:256" s="16" customFormat="1" ht="12.75">
      <c r="A82" s="32">
        <f>A105-A96</f>
        <v>94.11999999999999</v>
      </c>
      <c r="B82" s="78">
        <v>38.829</v>
      </c>
      <c r="C82" s="19" t="s">
        <v>455</v>
      </c>
      <c r="D82" s="19" t="s">
        <v>246</v>
      </c>
      <c r="E82" s="36" t="s">
        <v>251</v>
      </c>
      <c r="F82" s="70">
        <v>0.5729166666666666</v>
      </c>
      <c r="G82" t="s">
        <v>471</v>
      </c>
      <c r="H82"/>
      <c r="I82"/>
      <c r="J82"/>
      <c r="K82"/>
      <c r="L82"/>
      <c r="M82"/>
      <c r="N82"/>
      <c r="O82"/>
      <c r="IT82"/>
      <c r="IU82"/>
      <c r="IV82"/>
    </row>
    <row r="83" spans="1:256" s="16" customFormat="1" ht="12.75">
      <c r="A83" s="32">
        <f>A105-A95</f>
        <v>94.11999999999999</v>
      </c>
      <c r="B83" s="48">
        <f>B82</f>
        <v>38.829</v>
      </c>
      <c r="C83" s="19" t="s">
        <v>455</v>
      </c>
      <c r="D83" s="19" t="s">
        <v>241</v>
      </c>
      <c r="E83" s="36" t="s">
        <v>251</v>
      </c>
      <c r="F83" s="70">
        <v>0.5798611111111112</v>
      </c>
      <c r="G83"/>
      <c r="H83"/>
      <c r="I83"/>
      <c r="J83"/>
      <c r="K83"/>
      <c r="L83"/>
      <c r="M83"/>
      <c r="N83"/>
      <c r="O83"/>
      <c r="IT83"/>
      <c r="IU83"/>
      <c r="IV83"/>
    </row>
    <row r="84" spans="1:256" s="16" customFormat="1" ht="12.75">
      <c r="A84" s="32">
        <f>A105-A94</f>
        <v>110.64999999999999</v>
      </c>
      <c r="B84" s="17">
        <f>0.3048*1063</f>
        <v>324.0024</v>
      </c>
      <c r="C84" s="19" t="s">
        <v>456</v>
      </c>
      <c r="D84" s="19" t="s">
        <v>246</v>
      </c>
      <c r="E84" s="36" t="s">
        <v>251</v>
      </c>
      <c r="F84" s="39">
        <v>0.6388888888888888</v>
      </c>
      <c r="G84"/>
      <c r="H84"/>
      <c r="I84"/>
      <c r="J84"/>
      <c r="K84"/>
      <c r="L84"/>
      <c r="M84"/>
      <c r="N84"/>
      <c r="O84"/>
      <c r="IT84"/>
      <c r="IU84"/>
      <c r="IV84"/>
    </row>
    <row r="85" spans="1:256" s="16" customFormat="1" ht="12.75">
      <c r="A85" s="32">
        <f>A105-A93</f>
        <v>178.23</v>
      </c>
      <c r="B85" s="17">
        <f>0.3048*20</f>
        <v>6.096</v>
      </c>
      <c r="C85" s="19" t="s">
        <v>219</v>
      </c>
      <c r="D85" s="19" t="s">
        <v>246</v>
      </c>
      <c r="E85" s="39">
        <v>0.4618055555555556</v>
      </c>
      <c r="F85"/>
      <c r="G85"/>
      <c r="H85"/>
      <c r="I85"/>
      <c r="J85"/>
      <c r="K85"/>
      <c r="L85"/>
      <c r="M85"/>
      <c r="N85"/>
      <c r="O85"/>
      <c r="IT85"/>
      <c r="IU85"/>
      <c r="IV85"/>
    </row>
    <row r="86" spans="3:256" s="16" customFormat="1" ht="12.75">
      <c r="C86" t="s">
        <v>489</v>
      </c>
      <c r="D86" s="19"/>
      <c r="E86" s="19"/>
      <c r="F86" s="19"/>
      <c r="G86" s="12"/>
      <c r="H86"/>
      <c r="I86"/>
      <c r="J86"/>
      <c r="K86"/>
      <c r="L86"/>
      <c r="M86" s="22"/>
      <c r="N86" s="22"/>
      <c r="O86"/>
      <c r="IT86"/>
      <c r="IU86"/>
      <c r="IV86"/>
    </row>
    <row r="87" spans="1:256" s="16" customFormat="1" ht="12.75">
      <c r="A87"/>
      <c r="C87" s="20" t="s">
        <v>494</v>
      </c>
      <c r="D87" s="19"/>
      <c r="E87" s="86"/>
      <c r="F87"/>
      <c r="G87" s="19"/>
      <c r="H87" s="19"/>
      <c r="I87" s="19"/>
      <c r="J87"/>
      <c r="K87"/>
      <c r="L87"/>
      <c r="M87" s="22"/>
      <c r="N87" s="22"/>
      <c r="O87"/>
      <c r="IT87"/>
      <c r="IU87"/>
      <c r="IV87"/>
    </row>
    <row r="88" spans="1:256" s="16" customFormat="1" ht="12.75">
      <c r="A88"/>
      <c r="C88" s="20" t="s">
        <v>495</v>
      </c>
      <c r="D88"/>
      <c r="E88"/>
      <c r="F88"/>
      <c r="G88"/>
      <c r="H88"/>
      <c r="I88"/>
      <c r="J88"/>
      <c r="K88"/>
      <c r="L88"/>
      <c r="M88"/>
      <c r="N88" s="22"/>
      <c r="O88"/>
      <c r="IT88"/>
      <c r="IU88"/>
      <c r="IV88"/>
    </row>
    <row r="89" spans="1:256" s="16" customFormat="1" ht="12.75">
      <c r="A89"/>
      <c r="C89"/>
      <c r="D89"/>
      <c r="E89"/>
      <c r="F89"/>
      <c r="G89"/>
      <c r="H89"/>
      <c r="I89"/>
      <c r="J89"/>
      <c r="K89"/>
      <c r="L89"/>
      <c r="M89"/>
      <c r="N89"/>
      <c r="O89"/>
      <c r="IT89"/>
      <c r="IU89"/>
      <c r="IV89"/>
    </row>
    <row r="90" spans="1:256" s="16" customFormat="1" ht="12.75">
      <c r="A90"/>
      <c r="B90"/>
      <c r="C90"/>
      <c r="D90" s="19"/>
      <c r="E90" s="91" t="s">
        <v>85</v>
      </c>
      <c r="F90" s="23" t="s">
        <v>85</v>
      </c>
      <c r="G90" s="36" t="s">
        <v>475</v>
      </c>
      <c r="H90" s="11" t="s">
        <v>492</v>
      </c>
      <c r="I90"/>
      <c r="J90"/>
      <c r="K90"/>
      <c r="L90"/>
      <c r="M90"/>
      <c r="N90"/>
      <c r="O90"/>
      <c r="IT90"/>
      <c r="IU90"/>
      <c r="IV90"/>
    </row>
    <row r="91" spans="1:256" s="16" customFormat="1" ht="12.75">
      <c r="A91" s="50" t="s">
        <v>2</v>
      </c>
      <c r="B91" s="36" t="s">
        <v>222</v>
      </c>
      <c r="C91" s="42" t="s">
        <v>223</v>
      </c>
      <c r="D91" s="19"/>
      <c r="E91" s="23" t="s">
        <v>188</v>
      </c>
      <c r="F91" s="23" t="s">
        <v>188</v>
      </c>
      <c r="G91" s="23" t="s">
        <v>188</v>
      </c>
      <c r="H91" s="23" t="s">
        <v>177</v>
      </c>
      <c r="I91"/>
      <c r="J91"/>
      <c r="K91"/>
      <c r="L91"/>
      <c r="M91"/>
      <c r="N91"/>
      <c r="O91"/>
      <c r="IT91"/>
      <c r="IU91"/>
      <c r="IV91"/>
    </row>
    <row r="92" spans="3:256" s="16" customFormat="1" ht="12.75">
      <c r="C92" s="19"/>
      <c r="D92" s="19"/>
      <c r="E92" s="43" t="s">
        <v>82</v>
      </c>
      <c r="F92" s="43" t="s">
        <v>82</v>
      </c>
      <c r="G92" s="43"/>
      <c r="H92" s="43" t="s">
        <v>159</v>
      </c>
      <c r="I92"/>
      <c r="J92"/>
      <c r="K92"/>
      <c r="L92"/>
      <c r="M92"/>
      <c r="N92"/>
      <c r="O92"/>
      <c r="IT92"/>
      <c r="IU92"/>
      <c r="IV92"/>
    </row>
    <row r="93" spans="1:256" s="16" customFormat="1" ht="12.75">
      <c r="A93">
        <v>0</v>
      </c>
      <c r="B93" s="44">
        <f>B85</f>
        <v>6.096</v>
      </c>
      <c r="C93" s="19" t="s">
        <v>219</v>
      </c>
      <c r="D93" s="19" t="s">
        <v>241</v>
      </c>
      <c r="E93"/>
      <c r="F93"/>
      <c r="G93"/>
      <c r="H93" s="39">
        <v>0.75</v>
      </c>
      <c r="I93"/>
      <c r="J93"/>
      <c r="K93"/>
      <c r="L93"/>
      <c r="M93"/>
      <c r="N93"/>
      <c r="O93"/>
      <c r="IT93"/>
      <c r="IU93"/>
      <c r="IV93"/>
    </row>
    <row r="94" spans="1:256" s="16" customFormat="1" ht="12.75">
      <c r="A94" s="18">
        <v>67.58</v>
      </c>
      <c r="B94" s="32">
        <f>B84</f>
        <v>324.0024</v>
      </c>
      <c r="C94" s="19" t="s">
        <v>456</v>
      </c>
      <c r="D94" s="19"/>
      <c r="E94"/>
      <c r="F94" s="39">
        <v>0.6458333333333334</v>
      </c>
      <c r="G94"/>
      <c r="H94" s="36" t="s">
        <v>251</v>
      </c>
      <c r="I94"/>
      <c r="J94"/>
      <c r="K94"/>
      <c r="L94"/>
      <c r="M94"/>
      <c r="N94"/>
      <c r="O94"/>
      <c r="IT94"/>
      <c r="IU94"/>
      <c r="IV94"/>
    </row>
    <row r="95" spans="1:256" s="16" customFormat="1" ht="12.75">
      <c r="A95" s="18">
        <v>84.11</v>
      </c>
      <c r="B95" s="79">
        <f>B83</f>
        <v>38.829</v>
      </c>
      <c r="C95" s="19" t="s">
        <v>455</v>
      </c>
      <c r="D95" s="19" t="s">
        <v>246</v>
      </c>
      <c r="E95"/>
      <c r="F95" s="70">
        <v>0.6875</v>
      </c>
      <c r="G95"/>
      <c r="H95" s="36" t="s">
        <v>251</v>
      </c>
      <c r="I95"/>
      <c r="J95"/>
      <c r="K95"/>
      <c r="L95"/>
      <c r="M95"/>
      <c r="N95"/>
      <c r="O95" s="12"/>
      <c r="IT95"/>
      <c r="IU95"/>
      <c r="IV95"/>
    </row>
    <row r="96" spans="1:256" s="16" customFormat="1" ht="12.75">
      <c r="A96" s="18">
        <v>84.11</v>
      </c>
      <c r="B96" s="48">
        <f>B95</f>
        <v>38.829</v>
      </c>
      <c r="C96" s="19" t="s">
        <v>455</v>
      </c>
      <c r="D96" s="19" t="s">
        <v>241</v>
      </c>
      <c r="E96" t="s">
        <v>473</v>
      </c>
      <c r="F96" s="70">
        <v>0.6944444444444444</v>
      </c>
      <c r="G96"/>
      <c r="H96" s="36" t="s">
        <v>251</v>
      </c>
      <c r="I96"/>
      <c r="J96"/>
      <c r="K96"/>
      <c r="L96"/>
      <c r="M96"/>
      <c r="N96"/>
      <c r="O96" s="12"/>
      <c r="IT96"/>
      <c r="IU96"/>
      <c r="IV96"/>
    </row>
    <row r="97" spans="1:256" s="16" customFormat="1" ht="12.75">
      <c r="A97" s="18">
        <v>97.62</v>
      </c>
      <c r="B97" s="17">
        <f>B98</f>
        <v>10.0584</v>
      </c>
      <c r="C97" s="19" t="s">
        <v>270</v>
      </c>
      <c r="D97" s="19" t="s">
        <v>246</v>
      </c>
      <c r="E97" s="39">
        <v>0.4791666666666667</v>
      </c>
      <c r="F97" s="39">
        <v>0.71875</v>
      </c>
      <c r="G97"/>
      <c r="H97" s="36" t="s">
        <v>251</v>
      </c>
      <c r="I97"/>
      <c r="J97"/>
      <c r="K97"/>
      <c r="L97"/>
      <c r="M97"/>
      <c r="N97"/>
      <c r="O97" s="12"/>
      <c r="IT97"/>
      <c r="IU97"/>
      <c r="IV97"/>
    </row>
    <row r="98" spans="1:256" s="16" customFormat="1" ht="12.75">
      <c r="A98" s="18">
        <v>97.62</v>
      </c>
      <c r="B98" s="17">
        <f>B101</f>
        <v>10.0584</v>
      </c>
      <c r="C98" s="19" t="s">
        <v>468</v>
      </c>
      <c r="D98" s="19" t="s">
        <v>241</v>
      </c>
      <c r="E98" s="39">
        <v>0.4826388888888889</v>
      </c>
      <c r="F98" s="39">
        <v>0.7291666666666666</v>
      </c>
      <c r="G98" s="92">
        <v>0.7222222222222222</v>
      </c>
      <c r="H98" s="36" t="s">
        <v>251</v>
      </c>
      <c r="I98"/>
      <c r="J98"/>
      <c r="K98"/>
      <c r="L98"/>
      <c r="M98"/>
      <c r="N98"/>
      <c r="O98"/>
      <c r="IT98"/>
      <c r="IU98"/>
      <c r="IV98"/>
    </row>
    <row r="99" spans="1:256" s="16" customFormat="1" ht="12.75">
      <c r="A99">
        <v>117</v>
      </c>
      <c r="B99" s="17">
        <f>B100</f>
        <v>6.4008</v>
      </c>
      <c r="C99" s="19" t="s">
        <v>269</v>
      </c>
      <c r="D99" s="19" t="s">
        <v>246</v>
      </c>
      <c r="E99" s="39">
        <v>0.5034722222222222</v>
      </c>
      <c r="F99" s="39">
        <v>0.7534722222222222</v>
      </c>
      <c r="G99" s="36" t="s">
        <v>251</v>
      </c>
      <c r="H99" s="36" t="s">
        <v>251</v>
      </c>
      <c r="I99"/>
      <c r="J99"/>
      <c r="K99"/>
      <c r="L99"/>
      <c r="M99"/>
      <c r="N99"/>
      <c r="O99"/>
      <c r="IT99"/>
      <c r="IU99"/>
      <c r="IV99"/>
    </row>
    <row r="100" spans="1:256" s="16" customFormat="1" ht="12.75">
      <c r="A100">
        <v>0</v>
      </c>
      <c r="B100" s="17">
        <f>B78</f>
        <v>6.4008</v>
      </c>
      <c r="C100" s="19" t="s">
        <v>269</v>
      </c>
      <c r="D100" s="19" t="s">
        <v>241</v>
      </c>
      <c r="E100" s="39">
        <v>0.53125</v>
      </c>
      <c r="F100" s="39">
        <v>0.78125</v>
      </c>
      <c r="G100" s="36" t="s">
        <v>251</v>
      </c>
      <c r="H100" s="36" t="s">
        <v>251</v>
      </c>
      <c r="I100"/>
      <c r="J100"/>
      <c r="K100"/>
      <c r="L100"/>
      <c r="M100"/>
      <c r="N100"/>
      <c r="O100"/>
      <c r="IT100"/>
      <c r="IU100"/>
      <c r="IV100"/>
    </row>
    <row r="101" spans="1:256" s="16" customFormat="1" ht="12.75">
      <c r="A101" s="18">
        <f>A80</f>
        <v>19.308</v>
      </c>
      <c r="B101" s="17">
        <f>B102</f>
        <v>10.0584</v>
      </c>
      <c r="C101" s="19" t="s">
        <v>468</v>
      </c>
      <c r="D101" s="19" t="s">
        <v>246</v>
      </c>
      <c r="E101" s="39">
        <v>0.5520833333333334</v>
      </c>
      <c r="F101" s="39">
        <v>0.7951388888888888</v>
      </c>
      <c r="G101" s="36" t="s">
        <v>251</v>
      </c>
      <c r="H101" s="36" t="s">
        <v>251</v>
      </c>
      <c r="I101"/>
      <c r="J101"/>
      <c r="K101"/>
      <c r="L101"/>
      <c r="M101"/>
      <c r="N101"/>
      <c r="O101"/>
      <c r="IT101"/>
      <c r="IU101"/>
      <c r="IV101"/>
    </row>
    <row r="102" spans="1:256" s="16" customFormat="1" ht="12.75">
      <c r="A102" s="18">
        <v>97.62</v>
      </c>
      <c r="B102" s="17">
        <f>B76</f>
        <v>10.0584</v>
      </c>
      <c r="C102" s="19" t="s">
        <v>270</v>
      </c>
      <c r="D102" s="19" t="s">
        <v>241</v>
      </c>
      <c r="E102" s="39">
        <v>0.5590277777777778</v>
      </c>
      <c r="F102" s="39">
        <v>0.8055555555555556</v>
      </c>
      <c r="G102" s="36" t="s">
        <v>251</v>
      </c>
      <c r="H102" s="36" t="s">
        <v>251</v>
      </c>
      <c r="I102"/>
      <c r="J102"/>
      <c r="K102"/>
      <c r="L102"/>
      <c r="M102"/>
      <c r="N102"/>
      <c r="O102"/>
      <c r="IT102"/>
      <c r="IU102"/>
      <c r="IV102"/>
    </row>
    <row r="103" spans="1:256" s="16" customFormat="1" ht="12.75">
      <c r="A103" s="18">
        <v>114.19</v>
      </c>
      <c r="B103" s="17">
        <f>B74</f>
        <v>12.192</v>
      </c>
      <c r="C103" s="19" t="s">
        <v>244</v>
      </c>
      <c r="D103" s="39" t="s">
        <v>246</v>
      </c>
      <c r="E103" s="61" t="s">
        <v>190</v>
      </c>
      <c r="F103" s="39">
        <v>0.8159722222222222</v>
      </c>
      <c r="G103" s="36" t="s">
        <v>251</v>
      </c>
      <c r="H103" s="39">
        <v>0.8680555555555556</v>
      </c>
      <c r="I103"/>
      <c r="J103"/>
      <c r="K103"/>
      <c r="L103"/>
      <c r="M103"/>
      <c r="N103"/>
      <c r="O103"/>
      <c r="IT103"/>
      <c r="IU103"/>
      <c r="IV103"/>
    </row>
    <row r="104" spans="1:256" s="16" customFormat="1" ht="12.75">
      <c r="A104" s="18">
        <v>114.19</v>
      </c>
      <c r="B104" s="17">
        <f>B103</f>
        <v>12.192</v>
      </c>
      <c r="C104" s="61" t="s">
        <v>244</v>
      </c>
      <c r="D104" t="s">
        <v>241</v>
      </c>
      <c r="E104"/>
      <c r="F104" s="39">
        <v>0.8194444444444444</v>
      </c>
      <c r="G104" s="36" t="s">
        <v>251</v>
      </c>
      <c r="H104" s="70" t="s">
        <v>496</v>
      </c>
      <c r="I104"/>
      <c r="J104"/>
      <c r="K104"/>
      <c r="L104"/>
      <c r="M104"/>
      <c r="N104"/>
      <c r="O104"/>
      <c r="IT104"/>
      <c r="IU104"/>
      <c r="IV104"/>
    </row>
    <row r="105" spans="1:256" s="16" customFormat="1" ht="12.75">
      <c r="A105" s="18">
        <v>178.23</v>
      </c>
      <c r="B105" s="17">
        <f>B73</f>
        <v>11.5824</v>
      </c>
      <c r="C105" s="19" t="s">
        <v>245</v>
      </c>
      <c r="D105" s="19" t="s">
        <v>246</v>
      </c>
      <c r="E105"/>
      <c r="F105" s="39">
        <v>0.8854166666666666</v>
      </c>
      <c r="G105" s="92">
        <v>0.78125</v>
      </c>
      <c r="H105" s="39">
        <v>0.9270833333333334</v>
      </c>
      <c r="I105"/>
      <c r="J105"/>
      <c r="K105"/>
      <c r="L105"/>
      <c r="M105"/>
      <c r="N105"/>
      <c r="O105"/>
      <c r="IT105"/>
      <c r="IU105"/>
      <c r="IV105"/>
    </row>
    <row r="106" spans="1:256" s="16" customFormat="1" ht="12.75">
      <c r="A106"/>
      <c r="B106"/>
      <c r="C106" s="20" t="s">
        <v>495</v>
      </c>
      <c r="D106" s="19"/>
      <c r="E106"/>
      <c r="F106"/>
      <c r="G106"/>
      <c r="H106" s="19"/>
      <c r="I106" s="19"/>
      <c r="J106" s="19"/>
      <c r="K106"/>
      <c r="L106"/>
      <c r="M106"/>
      <c r="N106"/>
      <c r="O106"/>
      <c r="IT106"/>
      <c r="IU106"/>
      <c r="IV106"/>
    </row>
    <row r="107" spans="1:256" s="16" customFormat="1" ht="12.75">
      <c r="A107"/>
      <c r="B107"/>
      <c r="C107" t="s">
        <v>489</v>
      </c>
      <c r="D107" s="19"/>
      <c r="E107"/>
      <c r="F107"/>
      <c r="G107"/>
      <c r="H107"/>
      <c r="I107"/>
      <c r="J107"/>
      <c r="K107"/>
      <c r="L107"/>
      <c r="M107"/>
      <c r="N107"/>
      <c r="O107"/>
      <c r="IT107"/>
      <c r="IU107"/>
      <c r="IV107"/>
    </row>
    <row r="108" spans="1:256" s="16" customFormat="1" ht="12.75">
      <c r="A108"/>
      <c r="B108"/>
      <c r="C108" s="20" t="s">
        <v>494</v>
      </c>
      <c r="D108" s="19"/>
      <c r="E108" s="19"/>
      <c r="F108" s="19"/>
      <c r="G108" s="19"/>
      <c r="H108" s="19"/>
      <c r="I108" s="19"/>
      <c r="J108" s="19"/>
      <c r="K108"/>
      <c r="L108"/>
      <c r="M108"/>
      <c r="N108"/>
      <c r="O108"/>
      <c r="IT108"/>
      <c r="IU108"/>
      <c r="IV108"/>
    </row>
    <row r="109" spans="2:256" s="16" customFormat="1" ht="12.75">
      <c r="B109"/>
      <c r="C109"/>
      <c r="D109" s="19"/>
      <c r="E109" s="19"/>
      <c r="F109" s="19"/>
      <c r="G109" s="19"/>
      <c r="H109" s="19"/>
      <c r="I109" s="19"/>
      <c r="J109" s="19"/>
      <c r="L109"/>
      <c r="M109"/>
      <c r="N109"/>
      <c r="O109"/>
      <c r="IT109"/>
      <c r="IU109"/>
      <c r="IV109"/>
    </row>
    <row r="110" spans="1:253" ht="12.75">
      <c r="A110" s="16"/>
      <c r="C110" s="2"/>
      <c r="D110" s="19"/>
      <c r="E110" s="19"/>
      <c r="F110" s="19"/>
      <c r="G110" s="19"/>
      <c r="H110" s="19"/>
      <c r="I110" s="19"/>
      <c r="J110" s="16"/>
      <c r="IS110" s="16"/>
    </row>
    <row r="111" spans="1:21" ht="12.75">
      <c r="A111" s="3">
        <v>2015</v>
      </c>
      <c r="C111" s="35" t="s">
        <v>221</v>
      </c>
      <c r="E111" s="36" t="s">
        <v>116</v>
      </c>
      <c r="F111" s="36" t="s">
        <v>120</v>
      </c>
      <c r="G111" s="36" t="s">
        <v>125</v>
      </c>
      <c r="H111" s="36" t="s">
        <v>475</v>
      </c>
      <c r="I111" s="36" t="s">
        <v>130</v>
      </c>
      <c r="J111" s="36" t="s">
        <v>120</v>
      </c>
      <c r="K111" s="36" t="s">
        <v>125</v>
      </c>
      <c r="L111" s="36" t="s">
        <v>475</v>
      </c>
      <c r="M111" s="36" t="s">
        <v>125</v>
      </c>
      <c r="N111" s="12"/>
      <c r="O111" s="36"/>
      <c r="Q111" s="36"/>
      <c r="R111" s="36"/>
      <c r="U111" s="12"/>
    </row>
    <row r="112" spans="1:14" ht="12.75">
      <c r="A112" s="36" t="s">
        <v>2</v>
      </c>
      <c r="B112" s="36" t="s">
        <v>222</v>
      </c>
      <c r="C112" s="35" t="s">
        <v>223</v>
      </c>
      <c r="E112" s="12">
        <v>1</v>
      </c>
      <c r="F112" s="12">
        <v>21</v>
      </c>
      <c r="G112" s="12">
        <v>31</v>
      </c>
      <c r="I112" s="12" t="s">
        <v>129</v>
      </c>
      <c r="J112" s="12">
        <v>23</v>
      </c>
      <c r="K112" s="12">
        <v>41</v>
      </c>
      <c r="M112" s="12">
        <v>51</v>
      </c>
      <c r="N112" s="12"/>
    </row>
    <row r="113" spans="5:18" ht="24">
      <c r="E113" s="38" t="s">
        <v>170</v>
      </c>
      <c r="F113" s="36" t="s">
        <v>173</v>
      </c>
      <c r="G113" s="36" t="s">
        <v>173</v>
      </c>
      <c r="H113" s="36" t="s">
        <v>172</v>
      </c>
      <c r="I113" s="38" t="s">
        <v>175</v>
      </c>
      <c r="J113" s="36" t="s">
        <v>173</v>
      </c>
      <c r="K113" s="36" t="s">
        <v>173</v>
      </c>
      <c r="L113" s="36" t="s">
        <v>497</v>
      </c>
      <c r="M113" s="38" t="s">
        <v>174</v>
      </c>
      <c r="N113" s="12"/>
      <c r="O113" s="36"/>
      <c r="Q113" s="36"/>
      <c r="R113" s="36"/>
    </row>
    <row r="114" spans="1:18" ht="12.75">
      <c r="A114" s="36"/>
      <c r="B114" s="36"/>
      <c r="E114" s="36"/>
      <c r="F114" s="36" t="s">
        <v>86</v>
      </c>
      <c r="G114" s="36" t="s">
        <v>86</v>
      </c>
      <c r="H114" s="36"/>
      <c r="I114" s="36"/>
      <c r="J114" s="36" t="s">
        <v>86</v>
      </c>
      <c r="K114" s="36" t="s">
        <v>86</v>
      </c>
      <c r="L114" s="36"/>
      <c r="M114" s="36" t="s">
        <v>86</v>
      </c>
      <c r="N114" s="12"/>
      <c r="O114" s="36"/>
      <c r="Q114" s="36"/>
      <c r="R114" s="36"/>
    </row>
    <row r="115" spans="1:18" ht="12.75">
      <c r="A115" s="18">
        <v>0</v>
      </c>
      <c r="B115" s="18">
        <v>0</v>
      </c>
      <c r="C115" t="s">
        <v>225</v>
      </c>
      <c r="D115" t="s">
        <v>241</v>
      </c>
      <c r="E115" s="39">
        <v>0.3125</v>
      </c>
      <c r="G115" s="40">
        <v>0.3444444444444445</v>
      </c>
      <c r="H115" s="82">
        <v>0.3541666666666667</v>
      </c>
      <c r="I115" s="40">
        <v>0.5</v>
      </c>
      <c r="K115" s="40">
        <v>0.5263888888888889</v>
      </c>
      <c r="L115" s="82">
        <v>0.5833333333333334</v>
      </c>
      <c r="M115" s="40">
        <v>0.6875</v>
      </c>
      <c r="N115" s="12"/>
      <c r="R115" s="93"/>
    </row>
    <row r="116" spans="1:18" ht="12.75">
      <c r="A116" s="18">
        <v>2.73</v>
      </c>
      <c r="B116" s="18">
        <v>0</v>
      </c>
      <c r="C116" t="s">
        <v>227</v>
      </c>
      <c r="E116" s="59" t="s">
        <v>251</v>
      </c>
      <c r="F116" s="37">
        <v>0.3194444444444444</v>
      </c>
      <c r="G116" s="59" t="s">
        <v>251</v>
      </c>
      <c r="H116" s="36" t="s">
        <v>251</v>
      </c>
      <c r="I116" s="59" t="s">
        <v>251</v>
      </c>
      <c r="J116" s="40">
        <v>0.5069444444444444</v>
      </c>
      <c r="K116" s="59" t="s">
        <v>251</v>
      </c>
      <c r="L116" s="36" t="s">
        <v>251</v>
      </c>
      <c r="M116" s="59" t="s">
        <v>251</v>
      </c>
      <c r="N116" s="12"/>
      <c r="R116" s="36"/>
    </row>
    <row r="117" spans="1:18" ht="12.75">
      <c r="A117" s="18">
        <v>8.53</v>
      </c>
      <c r="B117" s="18">
        <f>0.3048*402</f>
        <v>122.5296</v>
      </c>
      <c r="C117" t="s">
        <v>478</v>
      </c>
      <c r="E117" s="59" t="s">
        <v>251</v>
      </c>
      <c r="F117" s="40">
        <v>0.3333333333333333</v>
      </c>
      <c r="G117" s="59" t="s">
        <v>251</v>
      </c>
      <c r="H117" s="36" t="s">
        <v>251</v>
      </c>
      <c r="I117" s="59" t="s">
        <v>251</v>
      </c>
      <c r="J117" s="40">
        <v>0.5208333333333334</v>
      </c>
      <c r="K117" s="59" t="s">
        <v>251</v>
      </c>
      <c r="L117" s="36" t="s">
        <v>251</v>
      </c>
      <c r="M117" s="59" t="s">
        <v>251</v>
      </c>
      <c r="N117" s="12"/>
      <c r="R117" s="36"/>
    </row>
    <row r="118" spans="1:18" ht="12.75">
      <c r="A118" s="18">
        <v>12.73</v>
      </c>
      <c r="B118" s="18">
        <f>0.3048*849</f>
        <v>258.77520000000004</v>
      </c>
      <c r="C118" t="s">
        <v>285</v>
      </c>
      <c r="E118" s="59" t="s">
        <v>251</v>
      </c>
      <c r="F118" s="40">
        <v>0.3402777777777778</v>
      </c>
      <c r="G118" s="59" t="s">
        <v>251</v>
      </c>
      <c r="H118" s="36" t="s">
        <v>251</v>
      </c>
      <c r="I118" s="59" t="s">
        <v>251</v>
      </c>
      <c r="J118" s="40">
        <v>0.5277777777777778</v>
      </c>
      <c r="K118" s="59" t="s">
        <v>251</v>
      </c>
      <c r="L118" s="36" t="s">
        <v>251</v>
      </c>
      <c r="M118" s="59" t="s">
        <v>251</v>
      </c>
      <c r="N118" s="12"/>
      <c r="R118" s="36"/>
    </row>
    <row r="119" spans="1:18" ht="12.75">
      <c r="A119" s="18">
        <v>21.73</v>
      </c>
      <c r="B119" s="18">
        <f>0.3048*1871</f>
        <v>570.2808</v>
      </c>
      <c r="C119" t="s">
        <v>287</v>
      </c>
      <c r="E119" s="40">
        <v>0.34097222222222223</v>
      </c>
      <c r="F119" s="40">
        <v>0.3548611111111111</v>
      </c>
      <c r="G119" s="40">
        <v>0.38055555555555554</v>
      </c>
      <c r="H119" s="36" t="s">
        <v>251</v>
      </c>
      <c r="I119" s="40">
        <f>J119-1/48</f>
        <v>0.5215277777777777</v>
      </c>
      <c r="J119" s="40">
        <v>0.5423611111111111</v>
      </c>
      <c r="K119" s="40">
        <v>0.5625</v>
      </c>
      <c r="L119" s="36" t="s">
        <v>251</v>
      </c>
      <c r="M119" s="40">
        <v>0.7236111111111111</v>
      </c>
      <c r="N119" s="12"/>
      <c r="R119" s="36"/>
    </row>
    <row r="120" spans="1:18" ht="12.75">
      <c r="A120" s="18">
        <v>31.83</v>
      </c>
      <c r="B120" s="18">
        <f>0.3048*2885</f>
        <v>879.3480000000001</v>
      </c>
      <c r="C120" t="s">
        <v>479</v>
      </c>
      <c r="D120" t="s">
        <v>246</v>
      </c>
      <c r="E120" s="40">
        <v>0.35833333333333334</v>
      </c>
      <c r="F120" s="40">
        <v>0.37222222222222223</v>
      </c>
      <c r="G120" s="40">
        <v>0.3979166666666667</v>
      </c>
      <c r="H120" s="36" t="s">
        <v>251</v>
      </c>
      <c r="I120" s="40">
        <v>0.5527777777777778</v>
      </c>
      <c r="J120" s="40">
        <v>0.5597222222222222</v>
      </c>
      <c r="K120" s="40">
        <v>0.579861111111111</v>
      </c>
      <c r="L120" s="36" t="s">
        <v>251</v>
      </c>
      <c r="M120" s="40">
        <v>0.7409722222222223</v>
      </c>
      <c r="N120" s="12"/>
      <c r="R120" s="36"/>
    </row>
    <row r="121" spans="1:18" ht="12.75">
      <c r="A121" s="18">
        <v>31.83</v>
      </c>
      <c r="B121" s="18">
        <f>0.3048*2885</f>
        <v>879.3480000000001</v>
      </c>
      <c r="C121" t="s">
        <v>480</v>
      </c>
      <c r="D121" t="s">
        <v>241</v>
      </c>
      <c r="E121" s="40">
        <v>0.40208333333333335</v>
      </c>
      <c r="F121" s="40">
        <v>0.41597222222222224</v>
      </c>
      <c r="G121" s="82"/>
      <c r="H121" s="36" t="s">
        <v>251</v>
      </c>
      <c r="I121" s="40">
        <v>0.5965277777777778</v>
      </c>
      <c r="J121" s="40">
        <v>0.6034722222222222</v>
      </c>
      <c r="K121" s="82"/>
      <c r="L121" s="36" t="s">
        <v>251</v>
      </c>
      <c r="M121" s="12"/>
      <c r="N121" s="12"/>
      <c r="R121" s="36"/>
    </row>
    <row r="122" spans="1:18" ht="12.75">
      <c r="A122" s="18">
        <v>43.63</v>
      </c>
      <c r="B122" s="18">
        <f>0.3048*2767</f>
        <v>843.3816</v>
      </c>
      <c r="C122" t="s">
        <v>120</v>
      </c>
      <c r="D122" t="s">
        <v>246</v>
      </c>
      <c r="E122" s="40">
        <v>0.4131944444444444</v>
      </c>
      <c r="F122" s="37">
        <v>0.4340277777777778</v>
      </c>
      <c r="G122" s="82"/>
      <c r="H122" s="36" t="s">
        <v>251</v>
      </c>
      <c r="I122" s="40">
        <v>0.611111111111111</v>
      </c>
      <c r="J122" s="37">
        <v>0.6215277777777778</v>
      </c>
      <c r="L122" s="82">
        <v>0.6666666666666666</v>
      </c>
      <c r="M122" s="12"/>
      <c r="N122" s="12"/>
      <c r="R122" s="36"/>
    </row>
    <row r="123" spans="1:18" ht="12.75">
      <c r="A123" s="18">
        <v>43.63</v>
      </c>
      <c r="B123" s="18">
        <f>0.3048*2767</f>
        <v>843.3816</v>
      </c>
      <c r="C123" t="s">
        <v>120</v>
      </c>
      <c r="D123" t="s">
        <v>241</v>
      </c>
      <c r="E123" s="40">
        <v>0.4270833333333333</v>
      </c>
      <c r="F123" s="12"/>
      <c r="G123" s="12"/>
      <c r="H123" s="36" t="s">
        <v>251</v>
      </c>
      <c r="I123" s="12"/>
      <c r="J123" s="82"/>
      <c r="L123" s="82">
        <v>0.6701388888888888</v>
      </c>
      <c r="M123" s="12"/>
      <c r="N123" s="12"/>
      <c r="O123" s="82"/>
      <c r="Q123" s="82"/>
      <c r="R123" s="36"/>
    </row>
    <row r="124" spans="1:18" ht="12.75">
      <c r="A124" s="18">
        <v>52.13</v>
      </c>
      <c r="B124" s="18">
        <f>0.3048*2916</f>
        <v>888.7968000000001</v>
      </c>
      <c r="C124" t="s">
        <v>229</v>
      </c>
      <c r="E124" s="40">
        <v>0.44027777777777777</v>
      </c>
      <c r="F124" s="59"/>
      <c r="G124" s="12"/>
      <c r="H124" s="36" t="s">
        <v>251</v>
      </c>
      <c r="I124" s="12"/>
      <c r="J124" s="59"/>
      <c r="L124" s="36" t="s">
        <v>251</v>
      </c>
      <c r="M124" s="12"/>
      <c r="N124" s="12"/>
      <c r="O124" s="36"/>
      <c r="Q124" s="36"/>
      <c r="R124" s="36"/>
    </row>
    <row r="125" spans="1:18" ht="12.75">
      <c r="A125" s="18">
        <v>64.33</v>
      </c>
      <c r="B125" s="18">
        <f>0.3048*2158</f>
        <v>657.7584</v>
      </c>
      <c r="C125" t="s">
        <v>230</v>
      </c>
      <c r="D125" t="s">
        <v>246</v>
      </c>
      <c r="E125" s="37">
        <v>0.46875</v>
      </c>
      <c r="F125" s="12"/>
      <c r="G125" s="12"/>
      <c r="H125" s="82">
        <v>0.4791666666666667</v>
      </c>
      <c r="I125" s="12"/>
      <c r="J125" s="59"/>
      <c r="L125" s="36" t="s">
        <v>251</v>
      </c>
      <c r="M125" s="12"/>
      <c r="N125" s="12"/>
      <c r="O125" s="36"/>
      <c r="Q125" s="36"/>
      <c r="R125" s="36"/>
    </row>
    <row r="126" spans="1:18" ht="12.75">
      <c r="A126" s="18">
        <v>64.33</v>
      </c>
      <c r="B126" s="18">
        <f>0.3048*2158</f>
        <v>657.7584</v>
      </c>
      <c r="C126" t="s">
        <v>277</v>
      </c>
      <c r="D126" t="s">
        <v>241</v>
      </c>
      <c r="E126" s="37">
        <v>0.5243055555555556</v>
      </c>
      <c r="F126" s="12"/>
      <c r="G126" s="12"/>
      <c r="I126" s="12"/>
      <c r="J126" s="59"/>
      <c r="L126" s="36" t="s">
        <v>251</v>
      </c>
      <c r="M126" s="12"/>
      <c r="N126" s="12"/>
      <c r="O126" s="36"/>
      <c r="Q126" s="36"/>
      <c r="R126" s="36"/>
    </row>
    <row r="127" spans="1:15" ht="12.75">
      <c r="A127" s="18">
        <v>107.63</v>
      </c>
      <c r="B127" s="18">
        <f>0.3048*2164</f>
        <v>659.5872</v>
      </c>
      <c r="C127" t="s">
        <v>278</v>
      </c>
      <c r="D127" t="s">
        <v>246</v>
      </c>
      <c r="E127" s="37">
        <v>0.5833333333333334</v>
      </c>
      <c r="F127" s="12"/>
      <c r="G127" s="12"/>
      <c r="I127" s="12"/>
      <c r="J127" s="82"/>
      <c r="L127" s="82">
        <v>0.7083333333333334</v>
      </c>
      <c r="M127" s="12"/>
      <c r="N127" s="12"/>
      <c r="O127" s="36"/>
    </row>
    <row r="128" spans="1:15" ht="12.75">
      <c r="A128" s="18">
        <v>107.63</v>
      </c>
      <c r="B128" s="18">
        <f>0.3048*2164</f>
        <v>659.5872</v>
      </c>
      <c r="C128" t="s">
        <v>116</v>
      </c>
      <c r="D128" t="s">
        <v>241</v>
      </c>
      <c r="E128" s="82">
        <v>0.7083333333333334</v>
      </c>
      <c r="F128" s="12"/>
      <c r="G128" s="12"/>
      <c r="I128" s="12"/>
      <c r="J128" s="82"/>
      <c r="L128" s="82">
        <v>0.7083333333333334</v>
      </c>
      <c r="M128" s="12"/>
      <c r="N128" s="12"/>
      <c r="O128" s="36"/>
    </row>
    <row r="129" spans="1:18" ht="12.75">
      <c r="A129" s="18">
        <v>176.83</v>
      </c>
      <c r="B129" s="18">
        <f>0.3048*2079</f>
        <v>633.6792</v>
      </c>
      <c r="C129" t="s">
        <v>231</v>
      </c>
      <c r="D129" t="s">
        <v>246</v>
      </c>
      <c r="E129" s="82">
        <v>0.7708333333333334</v>
      </c>
      <c r="F129" s="12"/>
      <c r="G129" s="12"/>
      <c r="I129" s="12"/>
      <c r="J129" s="82"/>
      <c r="L129" s="82">
        <v>0.7708333333333334</v>
      </c>
      <c r="M129" s="12"/>
      <c r="N129" s="12"/>
      <c r="O129" s="82"/>
      <c r="R129" s="82"/>
    </row>
    <row r="130" spans="3:14" ht="12.75">
      <c r="C130" t="s">
        <v>232</v>
      </c>
      <c r="E130" s="12"/>
      <c r="F130" s="12"/>
      <c r="G130" s="12"/>
      <c r="I130" s="12"/>
      <c r="N130" s="12"/>
    </row>
    <row r="131" spans="3:9" ht="12.75">
      <c r="C131" t="s">
        <v>481</v>
      </c>
      <c r="F131" s="36"/>
      <c r="H131" s="36"/>
      <c r="I131" s="36"/>
    </row>
    <row r="132" ht="12.75">
      <c r="C132" t="s">
        <v>234</v>
      </c>
    </row>
    <row r="133" spans="3:9" ht="12.75">
      <c r="C133" t="s">
        <v>498</v>
      </c>
      <c r="I133" s="94"/>
    </row>
    <row r="135" spans="3:15" ht="12.75">
      <c r="C135" s="35" t="s">
        <v>221</v>
      </c>
      <c r="E135" s="36" t="s">
        <v>475</v>
      </c>
      <c r="F135" s="36" t="s">
        <v>125</v>
      </c>
      <c r="G135" s="36" t="s">
        <v>120</v>
      </c>
      <c r="H135" s="36" t="s">
        <v>125</v>
      </c>
      <c r="I135" s="36" t="s">
        <v>475</v>
      </c>
      <c r="J135" s="36" t="s">
        <v>130</v>
      </c>
      <c r="K135" s="36" t="s">
        <v>120</v>
      </c>
      <c r="L135" s="36" t="s">
        <v>116</v>
      </c>
      <c r="M135" s="36" t="s">
        <v>475</v>
      </c>
      <c r="N135" s="36" t="s">
        <v>125</v>
      </c>
      <c r="O135" s="12"/>
    </row>
    <row r="136" spans="1:15" ht="12.75">
      <c r="A136" s="36" t="s">
        <v>2</v>
      </c>
      <c r="B136" s="36" t="s">
        <v>222</v>
      </c>
      <c r="C136" s="35" t="s">
        <v>237</v>
      </c>
      <c r="F136" s="12">
        <v>32</v>
      </c>
      <c r="G136" s="12">
        <v>22</v>
      </c>
      <c r="H136" s="12">
        <v>42</v>
      </c>
      <c r="J136" s="12" t="s">
        <v>129</v>
      </c>
      <c r="K136" s="12">
        <v>24</v>
      </c>
      <c r="L136" s="12">
        <v>2</v>
      </c>
      <c r="M136" s="12"/>
      <c r="N136" s="12">
        <v>52</v>
      </c>
      <c r="O136" s="12"/>
    </row>
    <row r="137" spans="5:15" ht="24">
      <c r="E137" s="36" t="s">
        <v>499</v>
      </c>
      <c r="F137" s="36" t="s">
        <v>173</v>
      </c>
      <c r="G137" s="36" t="s">
        <v>173</v>
      </c>
      <c r="H137" s="36" t="s">
        <v>173</v>
      </c>
      <c r="I137" s="38" t="s">
        <v>170</v>
      </c>
      <c r="J137" s="38" t="s">
        <v>175</v>
      </c>
      <c r="K137" s="36" t="s">
        <v>173</v>
      </c>
      <c r="L137" s="36" t="s">
        <v>172</v>
      </c>
      <c r="M137" s="38" t="s">
        <v>500</v>
      </c>
      <c r="N137" s="38" t="s">
        <v>174</v>
      </c>
      <c r="O137" s="12"/>
    </row>
    <row r="138" spans="5:15" ht="12.75">
      <c r="E138" s="36"/>
      <c r="F138" s="36" t="s">
        <v>86</v>
      </c>
      <c r="G138" s="36" t="s">
        <v>86</v>
      </c>
      <c r="H138" s="36" t="s">
        <v>86</v>
      </c>
      <c r="I138" s="36"/>
      <c r="J138" s="36"/>
      <c r="K138" s="36" t="s">
        <v>86</v>
      </c>
      <c r="L138" s="36"/>
      <c r="M138" s="36"/>
      <c r="N138" s="36" t="s">
        <v>86</v>
      </c>
      <c r="O138" s="12"/>
    </row>
    <row r="139" spans="1:15" ht="12.75">
      <c r="A139" s="18">
        <f>A129-A129</f>
        <v>0</v>
      </c>
      <c r="B139" s="18">
        <f>0.3048*2079</f>
        <v>633.6792</v>
      </c>
      <c r="C139" t="s">
        <v>231</v>
      </c>
      <c r="D139" t="s">
        <v>241</v>
      </c>
      <c r="E139" s="93">
        <v>0.3541666666666667</v>
      </c>
      <c r="F139" s="12"/>
      <c r="H139" s="12"/>
      <c r="J139" s="12"/>
      <c r="K139" s="12"/>
      <c r="L139" s="93">
        <v>0.3541666666666667</v>
      </c>
      <c r="M139" s="12"/>
      <c r="N139" s="12"/>
      <c r="O139" s="12"/>
    </row>
    <row r="140" spans="1:15" ht="12.75">
      <c r="A140" s="34">
        <f>A129-A128</f>
        <v>69.20000000000002</v>
      </c>
      <c r="B140" s="18">
        <f>0.3048*2164</f>
        <v>659.5872</v>
      </c>
      <c r="C140" t="s">
        <v>116</v>
      </c>
      <c r="D140" t="s">
        <v>246</v>
      </c>
      <c r="E140" s="36" t="s">
        <v>251</v>
      </c>
      <c r="F140" s="12"/>
      <c r="H140" s="12"/>
      <c r="J140" s="12"/>
      <c r="K140" s="12"/>
      <c r="L140" s="93">
        <v>0.40625</v>
      </c>
      <c r="M140" s="12"/>
      <c r="N140" s="12"/>
      <c r="O140" s="12"/>
    </row>
    <row r="141" spans="1:15" ht="12.75">
      <c r="A141" s="34">
        <f>A129-A127</f>
        <v>69.20000000000002</v>
      </c>
      <c r="B141" s="18">
        <f>0.3048*2164</f>
        <v>659.5872</v>
      </c>
      <c r="C141" t="s">
        <v>278</v>
      </c>
      <c r="D141" t="s">
        <v>241</v>
      </c>
      <c r="E141" s="36" t="s">
        <v>251</v>
      </c>
      <c r="F141" s="12"/>
      <c r="H141" s="12"/>
      <c r="I141" s="82">
        <v>0.5208333333333334</v>
      </c>
      <c r="J141" s="12"/>
      <c r="K141" s="12"/>
      <c r="L141" s="40">
        <v>0.5208333333333334</v>
      </c>
      <c r="M141" s="82">
        <v>0.6736111111111112</v>
      </c>
      <c r="N141" s="12"/>
      <c r="O141" s="12"/>
    </row>
    <row r="142" spans="1:15" ht="12.75">
      <c r="A142" s="34">
        <f>A129-A126</f>
        <v>112.50000000000001</v>
      </c>
      <c r="B142" s="18">
        <f>0.3048*2158</f>
        <v>657.7584</v>
      </c>
      <c r="C142" t="s">
        <v>277</v>
      </c>
      <c r="D142" t="s">
        <v>246</v>
      </c>
      <c r="E142" s="36" t="s">
        <v>251</v>
      </c>
      <c r="F142" s="12"/>
      <c r="H142" s="12"/>
      <c r="I142" s="36" t="s">
        <v>251</v>
      </c>
      <c r="J142" s="12"/>
      <c r="K142" s="12"/>
      <c r="L142" s="40">
        <v>0.5798611111111112</v>
      </c>
      <c r="M142" s="36" t="s">
        <v>251</v>
      </c>
      <c r="N142" s="12"/>
      <c r="O142" s="12"/>
    </row>
    <row r="143" spans="1:15" ht="12.75">
      <c r="A143" s="34">
        <f>A129-A125</f>
        <v>112.50000000000001</v>
      </c>
      <c r="B143" s="18">
        <f>0.3048*2158</f>
        <v>657.7584</v>
      </c>
      <c r="C143" t="s">
        <v>230</v>
      </c>
      <c r="D143" t="s">
        <v>241</v>
      </c>
      <c r="E143" s="36" t="s">
        <v>251</v>
      </c>
      <c r="F143" s="12"/>
      <c r="H143" s="12"/>
      <c r="I143" s="36" t="s">
        <v>251</v>
      </c>
      <c r="J143" s="12"/>
      <c r="K143" s="12"/>
      <c r="L143" s="40">
        <v>0.6319444444444444</v>
      </c>
      <c r="M143" s="36" t="s">
        <v>251</v>
      </c>
      <c r="N143" s="12"/>
      <c r="O143" s="12"/>
    </row>
    <row r="144" spans="1:15" ht="12.75">
      <c r="A144" s="34">
        <f>A129-A123</f>
        <v>133.20000000000002</v>
      </c>
      <c r="B144" s="18">
        <f>0.3048*2767</f>
        <v>843.3816</v>
      </c>
      <c r="C144" t="s">
        <v>120</v>
      </c>
      <c r="D144" t="s">
        <v>246</v>
      </c>
      <c r="E144" s="93">
        <v>0.4548611111111111</v>
      </c>
      <c r="F144" s="12"/>
      <c r="H144" s="12"/>
      <c r="I144" s="82">
        <v>0.5625</v>
      </c>
      <c r="J144" s="12"/>
      <c r="K144" s="12"/>
      <c r="L144" s="84">
        <v>0.6631944444444444</v>
      </c>
      <c r="M144" s="82">
        <v>0.7013888888888888</v>
      </c>
      <c r="N144" s="12"/>
      <c r="O144" s="12"/>
    </row>
    <row r="145" spans="1:15" ht="12.75">
      <c r="A145" s="34">
        <f>A129-A122</f>
        <v>133.20000000000002</v>
      </c>
      <c r="B145" s="18">
        <f>0.3048*2767</f>
        <v>843.3816</v>
      </c>
      <c r="C145" t="s">
        <v>120</v>
      </c>
      <c r="D145" t="s">
        <v>241</v>
      </c>
      <c r="E145" s="93">
        <v>0.4583333333333333</v>
      </c>
      <c r="F145" s="12"/>
      <c r="G145" s="84">
        <v>0.47222222222222227</v>
      </c>
      <c r="H145" s="12"/>
      <c r="J145" s="84">
        <v>0.6354166666666666</v>
      </c>
      <c r="K145" s="84">
        <v>0.65625</v>
      </c>
      <c r="L145" s="40">
        <v>0.6666666666666666</v>
      </c>
      <c r="M145" s="82">
        <v>0.7048611111111112</v>
      </c>
      <c r="N145" s="12"/>
      <c r="O145" s="12"/>
    </row>
    <row r="146" spans="1:15" ht="12.75">
      <c r="A146" s="34">
        <f>A129-A121</f>
        <v>145</v>
      </c>
      <c r="B146" s="18">
        <f>0.3048*2885</f>
        <v>879.3480000000001</v>
      </c>
      <c r="C146" t="s">
        <v>480</v>
      </c>
      <c r="D146" t="s">
        <v>246</v>
      </c>
      <c r="E146" s="36" t="s">
        <v>251</v>
      </c>
      <c r="F146" s="12"/>
      <c r="G146" s="84">
        <v>0.4847222222222222</v>
      </c>
      <c r="H146" s="12"/>
      <c r="J146" s="84">
        <v>0.6479166666666667</v>
      </c>
      <c r="K146" s="84">
        <v>0.66875</v>
      </c>
      <c r="L146" s="40">
        <v>0.6805555555555556</v>
      </c>
      <c r="M146" s="36" t="s">
        <v>251</v>
      </c>
      <c r="N146" s="12"/>
      <c r="O146" s="12"/>
    </row>
    <row r="147" spans="1:15" ht="12.75">
      <c r="A147" s="34">
        <f>A129-A120</f>
        <v>145</v>
      </c>
      <c r="B147" s="18">
        <f>0.3048*2885</f>
        <v>879.3480000000001</v>
      </c>
      <c r="C147" t="s">
        <v>479</v>
      </c>
      <c r="D147" t="s">
        <v>241</v>
      </c>
      <c r="E147" s="36" t="s">
        <v>251</v>
      </c>
      <c r="F147" s="40">
        <v>0.41875</v>
      </c>
      <c r="G147" s="40">
        <v>0.4451388888888889</v>
      </c>
      <c r="H147" s="40">
        <v>0.6006944444444444</v>
      </c>
      <c r="J147" s="40">
        <v>0.6083333333333333</v>
      </c>
      <c r="K147" s="40">
        <v>0.6291666666666667</v>
      </c>
      <c r="L147" s="40">
        <v>0.6388888888888888</v>
      </c>
      <c r="M147" s="36" t="s">
        <v>251</v>
      </c>
      <c r="N147" s="40">
        <v>0.7465277777777778</v>
      </c>
      <c r="O147" s="12"/>
    </row>
    <row r="148" spans="1:15" ht="12.75">
      <c r="A148" s="34">
        <f>A129-A119</f>
        <v>155.10000000000002</v>
      </c>
      <c r="B148" s="18">
        <f>0.3048*1871</f>
        <v>570.2808</v>
      </c>
      <c r="C148" t="s">
        <v>287</v>
      </c>
      <c r="E148" s="36" t="s">
        <v>251</v>
      </c>
      <c r="F148" s="40">
        <v>0.4381944444444445</v>
      </c>
      <c r="G148" s="40">
        <v>0.46458333333333335</v>
      </c>
      <c r="H148" s="40">
        <v>0.6201388888888889</v>
      </c>
      <c r="J148" s="40">
        <v>0.6277777777777778</v>
      </c>
      <c r="K148" s="40">
        <v>0.6486111111111111</v>
      </c>
      <c r="L148" s="40">
        <v>0.6597222222222222</v>
      </c>
      <c r="M148" s="36" t="s">
        <v>251</v>
      </c>
      <c r="N148" s="40">
        <v>0.7659722222222222</v>
      </c>
      <c r="O148" s="12"/>
    </row>
    <row r="149" spans="1:15" ht="12.75">
      <c r="A149" s="34">
        <f>A129-A118</f>
        <v>164.10000000000002</v>
      </c>
      <c r="B149" s="18">
        <f>0.3048*849</f>
        <v>258.77520000000004</v>
      </c>
      <c r="C149" t="s">
        <v>285</v>
      </c>
      <c r="E149" s="36" t="s">
        <v>251</v>
      </c>
      <c r="F149" s="59" t="s">
        <v>251</v>
      </c>
      <c r="G149" s="40">
        <v>0.48055555555555557</v>
      </c>
      <c r="H149" s="59" t="s">
        <v>251</v>
      </c>
      <c r="J149" s="59" t="s">
        <v>251</v>
      </c>
      <c r="K149" s="40">
        <v>0.6645833333333333</v>
      </c>
      <c r="L149" s="36" t="s">
        <v>251</v>
      </c>
      <c r="M149" s="36" t="s">
        <v>251</v>
      </c>
      <c r="N149" s="59" t="s">
        <v>251</v>
      </c>
      <c r="O149" s="12"/>
    </row>
    <row r="150" spans="1:15" ht="12.75">
      <c r="A150" s="34">
        <f>A129-A117</f>
        <v>168.3</v>
      </c>
      <c r="B150" s="18">
        <f>0.3048*402</f>
        <v>122.5296</v>
      </c>
      <c r="C150" t="s">
        <v>478</v>
      </c>
      <c r="E150" s="36" t="s">
        <v>251</v>
      </c>
      <c r="F150" s="59" t="s">
        <v>251</v>
      </c>
      <c r="G150" s="40">
        <v>0.4875</v>
      </c>
      <c r="H150" s="59" t="s">
        <v>251</v>
      </c>
      <c r="J150" s="59" t="s">
        <v>251</v>
      </c>
      <c r="K150" s="40">
        <v>0.6715277777777778</v>
      </c>
      <c r="L150" s="36" t="s">
        <v>251</v>
      </c>
      <c r="M150" s="36" t="s">
        <v>251</v>
      </c>
      <c r="N150" s="59" t="s">
        <v>251</v>
      </c>
      <c r="O150" s="12"/>
    </row>
    <row r="151" spans="1:15" ht="12.75">
      <c r="A151" s="34">
        <f>A129-A116</f>
        <v>174.10000000000002</v>
      </c>
      <c r="B151" s="18">
        <v>0</v>
      </c>
      <c r="C151" t="s">
        <v>227</v>
      </c>
      <c r="D151" t="s">
        <v>246</v>
      </c>
      <c r="E151" s="36" t="s">
        <v>251</v>
      </c>
      <c r="F151" s="59" t="s">
        <v>251</v>
      </c>
      <c r="G151" s="59" t="s">
        <v>251</v>
      </c>
      <c r="H151" s="59" t="s">
        <v>251</v>
      </c>
      <c r="J151" s="59" t="s">
        <v>251</v>
      </c>
      <c r="K151" s="59" t="s">
        <v>251</v>
      </c>
      <c r="L151" s="36" t="s">
        <v>251</v>
      </c>
      <c r="M151" s="36" t="s">
        <v>251</v>
      </c>
      <c r="N151" s="59" t="s">
        <v>251</v>
      </c>
      <c r="O151" s="12"/>
    </row>
    <row r="152" spans="1:15" ht="12.75">
      <c r="A152" s="34">
        <f>A129-A115</f>
        <v>176.83</v>
      </c>
      <c r="B152" s="18">
        <v>0</v>
      </c>
      <c r="C152" t="s">
        <v>225</v>
      </c>
      <c r="D152" t="s">
        <v>246</v>
      </c>
      <c r="E152" s="93">
        <v>0.4583333333333333</v>
      </c>
      <c r="F152" s="40">
        <v>0.47361111111111115</v>
      </c>
      <c r="G152" s="39">
        <v>0.5034722222222222</v>
      </c>
      <c r="H152" s="40">
        <v>0.6555555555555556</v>
      </c>
      <c r="J152" s="40">
        <v>0.6666666666666666</v>
      </c>
      <c r="K152" s="40">
        <v>0.6875</v>
      </c>
      <c r="L152" s="39">
        <v>0.6979166666666666</v>
      </c>
      <c r="M152" s="82">
        <v>0.7291666666666666</v>
      </c>
      <c r="N152" s="40">
        <v>0.8013888888888889</v>
      </c>
      <c r="O152" s="12"/>
    </row>
    <row r="153" spans="3:14" ht="12.75">
      <c r="C153" t="s">
        <v>239</v>
      </c>
      <c r="E153" s="12"/>
      <c r="F153" s="12"/>
      <c r="G153" s="12"/>
      <c r="H153" s="12"/>
      <c r="I153" s="12"/>
      <c r="J153" s="12"/>
      <c r="K153" s="12"/>
      <c r="M153" s="12"/>
      <c r="N153" s="12"/>
    </row>
    <row r="154" spans="3:15" ht="12.75">
      <c r="C154" t="s">
        <v>481</v>
      </c>
      <c r="H154" s="36"/>
      <c r="O154" s="36"/>
    </row>
    <row r="155" spans="3:15" ht="12.75">
      <c r="C155" t="s">
        <v>234</v>
      </c>
      <c r="F155" s="36"/>
      <c r="G155" s="36"/>
      <c r="H155" s="36"/>
      <c r="I155" s="36"/>
      <c r="J155" s="36"/>
      <c r="K155" s="36"/>
      <c r="L155" s="36"/>
      <c r="M155" s="36"/>
      <c r="N155" s="36"/>
      <c r="O155" s="36"/>
    </row>
    <row r="156" spans="6:15" ht="12.75">
      <c r="F156" s="12"/>
      <c r="G156" s="12"/>
      <c r="H156" s="12"/>
      <c r="J156" s="12"/>
      <c r="K156" s="12"/>
      <c r="L156" s="12"/>
      <c r="M156" s="12"/>
      <c r="N156" s="12"/>
      <c r="O156" s="3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3.xml><?xml version="1.0" encoding="utf-8"?>
<worksheet xmlns="http://schemas.openxmlformats.org/spreadsheetml/2006/main" xmlns:r="http://schemas.openxmlformats.org/officeDocument/2006/relationships">
  <dimension ref="A1:IU99"/>
  <sheetViews>
    <sheetView zoomScale="80" zoomScaleNormal="80" workbookViewId="0" topLeftCell="A1">
      <selection activeCell="A1" sqref="A1"/>
    </sheetView>
  </sheetViews>
  <sheetFormatPr defaultColWidth="12.57421875" defaultRowHeight="12.75"/>
  <cols>
    <col min="1" max="1" width="5.57421875" style="16" customWidth="1"/>
    <col min="2" max="2" width="7.421875" style="16" customWidth="1"/>
    <col min="3" max="3" width="17.00390625" style="16" customWidth="1"/>
    <col min="4" max="4" width="2.140625" style="16" customWidth="1"/>
    <col min="5" max="255" width="11.57421875" style="16" customWidth="1"/>
    <col min="256" max="16384" width="11.57421875" style="0" customWidth="1"/>
  </cols>
  <sheetData>
    <row r="1" spans="1:22" ht="12.75">
      <c r="A1" s="3">
        <v>1931</v>
      </c>
      <c r="B1"/>
      <c r="C1" s="3" t="s">
        <v>34</v>
      </c>
      <c r="D1" s="19"/>
      <c r="E1" s="41" t="s">
        <v>38</v>
      </c>
      <c r="F1" s="41" t="s">
        <v>31</v>
      </c>
      <c r="G1" s="41" t="s">
        <v>38</v>
      </c>
      <c r="H1" s="41" t="s">
        <v>38</v>
      </c>
      <c r="I1"/>
      <c r="J1"/>
      <c r="K1"/>
      <c r="L1"/>
      <c r="O1"/>
      <c r="P1" s="19"/>
      <c r="Q1"/>
      <c r="R1"/>
      <c r="S1"/>
      <c r="T1"/>
      <c r="U1"/>
      <c r="V1"/>
    </row>
    <row r="2" spans="1:22" ht="12.75">
      <c r="A2" s="36" t="s">
        <v>2</v>
      </c>
      <c r="B2" s="36" t="s">
        <v>222</v>
      </c>
      <c r="C2" s="42" t="s">
        <v>223</v>
      </c>
      <c r="D2" s="19"/>
      <c r="E2">
        <v>6</v>
      </c>
      <c r="F2">
        <v>2</v>
      </c>
      <c r="G2">
        <v>4</v>
      </c>
      <c r="H2">
        <v>10</v>
      </c>
      <c r="I2"/>
      <c r="J2"/>
      <c r="K2"/>
      <c r="L2"/>
      <c r="M2"/>
      <c r="N2"/>
      <c r="O2"/>
      <c r="P2" s="19"/>
      <c r="Q2"/>
      <c r="R2"/>
      <c r="S2"/>
      <c r="T2"/>
      <c r="U2"/>
      <c r="V2"/>
    </row>
    <row r="3" spans="1:22" ht="12.75">
      <c r="A3"/>
      <c r="B3"/>
      <c r="C3" s="35" t="s">
        <v>240</v>
      </c>
      <c r="D3" s="19"/>
      <c r="E3" s="43" t="s">
        <v>32</v>
      </c>
      <c r="F3" s="43" t="s">
        <v>36</v>
      </c>
      <c r="G3" s="43" t="s">
        <v>43</v>
      </c>
      <c r="H3" s="43" t="s">
        <v>47</v>
      </c>
      <c r="I3"/>
      <c r="J3"/>
      <c r="K3"/>
      <c r="L3"/>
      <c r="N3"/>
      <c r="O3" s="19"/>
      <c r="P3" s="19"/>
      <c r="Q3"/>
      <c r="R3"/>
      <c r="S3"/>
      <c r="T3"/>
      <c r="U3"/>
      <c r="V3"/>
    </row>
    <row r="4" spans="1:22" ht="12.75">
      <c r="A4" s="32">
        <v>0</v>
      </c>
      <c r="B4" s="44">
        <f>B53</f>
        <v>6.096</v>
      </c>
      <c r="C4" s="19" t="s">
        <v>219</v>
      </c>
      <c r="D4" s="19" t="s">
        <v>241</v>
      </c>
      <c r="E4" s="39">
        <v>0.375</v>
      </c>
      <c r="F4" s="39">
        <v>0.3125</v>
      </c>
      <c r="G4"/>
      <c r="H4" s="39"/>
      <c r="I4"/>
      <c r="J4"/>
      <c r="K4"/>
      <c r="L4"/>
      <c r="M4"/>
      <c r="N4"/>
      <c r="O4"/>
      <c r="P4"/>
      <c r="Q4"/>
      <c r="R4"/>
      <c r="S4"/>
      <c r="T4"/>
      <c r="U4"/>
      <c r="V4"/>
    </row>
    <row r="5" spans="1:22" ht="12.75">
      <c r="A5" s="32">
        <f>1.609*23.3</f>
        <v>37.4897</v>
      </c>
      <c r="B5" s="44">
        <f>0.3048*452</f>
        <v>137.7696</v>
      </c>
      <c r="C5" s="19" t="s">
        <v>242</v>
      </c>
      <c r="D5" s="19"/>
      <c r="E5" s="39">
        <v>0.4215277777777778</v>
      </c>
      <c r="F5" s="39">
        <v>0.36041666666666666</v>
      </c>
      <c r="G5"/>
      <c r="H5" s="39"/>
      <c r="I5"/>
      <c r="J5"/>
      <c r="K5"/>
      <c r="L5"/>
      <c r="M5"/>
      <c r="N5"/>
      <c r="O5"/>
      <c r="P5"/>
      <c r="Q5"/>
      <c r="R5"/>
      <c r="S5"/>
      <c r="T5"/>
      <c r="U5"/>
      <c r="V5"/>
    </row>
    <row r="6" spans="1:22" ht="12.75">
      <c r="A6" s="32">
        <f>1.609*51</f>
        <v>82.059</v>
      </c>
      <c r="B6" s="45">
        <f>0.3048*491</f>
        <v>149.6568</v>
      </c>
      <c r="C6" s="19" t="s">
        <v>243</v>
      </c>
      <c r="D6" s="19"/>
      <c r="E6" s="39">
        <v>0.4791666666666667</v>
      </c>
      <c r="F6" s="39">
        <v>0.4201388888888889</v>
      </c>
      <c r="G6"/>
      <c r="H6" s="39"/>
      <c r="I6"/>
      <c r="J6"/>
      <c r="K6"/>
      <c r="L6"/>
      <c r="M6"/>
      <c r="N6"/>
      <c r="O6"/>
      <c r="P6"/>
      <c r="Q6"/>
      <c r="R6"/>
      <c r="S6"/>
      <c r="T6"/>
      <c r="U6"/>
      <c r="V6"/>
    </row>
    <row r="7" spans="1:22" ht="12.75">
      <c r="A7" s="32">
        <v>119.8705</v>
      </c>
      <c r="B7" s="17">
        <f>B50</f>
        <v>12.192</v>
      </c>
      <c r="C7" s="19" t="s">
        <v>244</v>
      </c>
      <c r="D7" s="19"/>
      <c r="E7" s="39">
        <v>0.5173611111111112</v>
      </c>
      <c r="F7" s="39">
        <v>0.4583333333333333</v>
      </c>
      <c r="G7"/>
      <c r="H7" s="39"/>
      <c r="I7"/>
      <c r="J7"/>
      <c r="K7"/>
      <c r="L7"/>
      <c r="M7"/>
      <c r="N7"/>
      <c r="O7"/>
      <c r="P7"/>
      <c r="Q7"/>
      <c r="R7"/>
      <c r="S7"/>
      <c r="T7"/>
      <c r="U7"/>
      <c r="V7"/>
    </row>
    <row r="8" spans="1:22" ht="12.75">
      <c r="A8" s="32">
        <v>183.9087</v>
      </c>
      <c r="B8" s="17">
        <f>B49</f>
        <v>11.5824</v>
      </c>
      <c r="C8" s="19" t="s">
        <v>245</v>
      </c>
      <c r="D8" s="19" t="s">
        <v>246</v>
      </c>
      <c r="E8" s="39">
        <v>0.5798611111111112</v>
      </c>
      <c r="F8" s="39">
        <v>0.5208333333333334</v>
      </c>
      <c r="G8"/>
      <c r="H8" s="39"/>
      <c r="I8"/>
      <c r="J8"/>
      <c r="K8"/>
      <c r="L8"/>
      <c r="M8"/>
      <c r="N8"/>
      <c r="O8"/>
      <c r="P8"/>
      <c r="Q8"/>
      <c r="R8"/>
      <c r="S8"/>
      <c r="T8"/>
      <c r="U8"/>
      <c r="V8"/>
    </row>
    <row r="9" spans="1:22" ht="12.75">
      <c r="A9" s="46">
        <f>A8+0</f>
        <v>183.9087</v>
      </c>
      <c r="B9" s="17">
        <f>0.3048*38</f>
        <v>11.5824</v>
      </c>
      <c r="C9" s="19" t="s">
        <v>245</v>
      </c>
      <c r="D9" s="19" t="s">
        <v>241</v>
      </c>
      <c r="E9" s="39">
        <v>0.625</v>
      </c>
      <c r="F9" s="39">
        <v>0.5625</v>
      </c>
      <c r="G9"/>
      <c r="H9" s="39"/>
      <c r="I9"/>
      <c r="J9"/>
      <c r="K9"/>
      <c r="L9"/>
      <c r="M9"/>
      <c r="N9"/>
      <c r="O9"/>
      <c r="P9"/>
      <c r="Q9"/>
      <c r="R9"/>
      <c r="S9"/>
      <c r="T9"/>
      <c r="U9"/>
      <c r="V9"/>
    </row>
    <row r="10" spans="1:22" ht="12.75">
      <c r="A10" s="46">
        <f>A8+59</f>
        <v>242.9087</v>
      </c>
      <c r="B10" s="17">
        <f>0.3048*36</f>
        <v>10.972800000000001</v>
      </c>
      <c r="C10" s="19" t="s">
        <v>247</v>
      </c>
      <c r="D10" s="47"/>
      <c r="E10" s="39">
        <v>0.6854166666666667</v>
      </c>
      <c r="F10" s="39">
        <v>0.6229166666666667</v>
      </c>
      <c r="G10"/>
      <c r="H10" s="39"/>
      <c r="I10"/>
      <c r="J10"/>
      <c r="K10"/>
      <c r="L10"/>
      <c r="M10" s="32"/>
      <c r="N10" s="48"/>
      <c r="O10" s="19"/>
      <c r="P10" s="19"/>
      <c r="Q10"/>
      <c r="R10"/>
      <c r="S10"/>
      <c r="T10"/>
      <c r="U10"/>
      <c r="V10"/>
    </row>
    <row r="11" spans="1:22" ht="12.75">
      <c r="A11" s="46">
        <f>A8+73</f>
        <v>256.9087</v>
      </c>
      <c r="B11" s="17">
        <f>0.3048*339</f>
        <v>103.3272</v>
      </c>
      <c r="C11" s="19" t="s">
        <v>248</v>
      </c>
      <c r="D11" s="47"/>
      <c r="E11" s="39">
        <v>0.7027777777777777</v>
      </c>
      <c r="F11" s="39">
        <v>0.6402777777777777</v>
      </c>
      <c r="G11"/>
      <c r="H11" s="39"/>
      <c r="I11"/>
      <c r="J11"/>
      <c r="K11"/>
      <c r="L11"/>
      <c r="M11" s="32"/>
      <c r="N11" s="17"/>
      <c r="O11" s="19"/>
      <c r="P11" s="19"/>
      <c r="Q11"/>
      <c r="R11"/>
      <c r="S11"/>
      <c r="T11"/>
      <c r="U11"/>
      <c r="V11"/>
    </row>
    <row r="12" spans="1:22" ht="12.75">
      <c r="A12" s="46">
        <f>A8+181</f>
        <v>364.9087</v>
      </c>
      <c r="B12" s="17">
        <f>0.3048*354</f>
        <v>107.89920000000001</v>
      </c>
      <c r="C12" s="19" t="s">
        <v>249</v>
      </c>
      <c r="D12" s="19"/>
      <c r="E12" s="39">
        <v>0.8</v>
      </c>
      <c r="F12" s="39">
        <v>0.7375</v>
      </c>
      <c r="G12"/>
      <c r="H12" s="39"/>
      <c r="I12"/>
      <c r="J12"/>
      <c r="K12"/>
      <c r="L12"/>
      <c r="M12"/>
      <c r="N12"/>
      <c r="O12"/>
      <c r="P12"/>
      <c r="Q12"/>
      <c r="R12"/>
      <c r="S12"/>
      <c r="T12"/>
      <c r="U12"/>
      <c r="V12"/>
    </row>
    <row r="13" spans="1:22" ht="12.75">
      <c r="A13" s="46">
        <f>A8+216</f>
        <v>399.9087</v>
      </c>
      <c r="B13" s="17">
        <f>0.3048*546</f>
        <v>166.4208</v>
      </c>
      <c r="C13" s="19" t="s">
        <v>250</v>
      </c>
      <c r="D13" s="19" t="s">
        <v>246</v>
      </c>
      <c r="E13" s="39">
        <v>0.8333333333333334</v>
      </c>
      <c r="F13" s="39">
        <v>0.7708333333333334</v>
      </c>
      <c r="G13"/>
      <c r="H13" s="39"/>
      <c r="I13"/>
      <c r="J13"/>
      <c r="K13"/>
      <c r="L13"/>
      <c r="M13"/>
      <c r="N13"/>
      <c r="O13"/>
      <c r="P13"/>
      <c r="Q13"/>
      <c r="R13"/>
      <c r="S13"/>
      <c r="T13"/>
      <c r="U13"/>
      <c r="V13"/>
    </row>
    <row r="14" spans="1:22" ht="12.75">
      <c r="A14" s="49" t="s">
        <v>251</v>
      </c>
      <c r="B14" s="49" t="s">
        <v>251</v>
      </c>
      <c r="C14" s="19"/>
      <c r="D14" s="19"/>
      <c r="E14">
        <v>8</v>
      </c>
      <c r="F14">
        <v>4</v>
      </c>
      <c r="G14"/>
      <c r="H14" s="39"/>
      <c r="I14"/>
      <c r="J14"/>
      <c r="K14"/>
      <c r="L14"/>
      <c r="M14"/>
      <c r="N14"/>
      <c r="O14"/>
      <c r="P14"/>
      <c r="Q14"/>
      <c r="R14"/>
      <c r="S14"/>
      <c r="T14"/>
      <c r="U14"/>
      <c r="V14"/>
    </row>
    <row r="15" spans="1:22" ht="12.75">
      <c r="A15" s="49" t="s">
        <v>251</v>
      </c>
      <c r="B15" s="49" t="s">
        <v>251</v>
      </c>
      <c r="C15" s="19"/>
      <c r="D15" s="19"/>
      <c r="E15" s="43" t="s">
        <v>36</v>
      </c>
      <c r="F15" s="43" t="s">
        <v>42</v>
      </c>
      <c r="G15"/>
      <c r="H15" s="39"/>
      <c r="I15"/>
      <c r="J15"/>
      <c r="K15"/>
      <c r="L15"/>
      <c r="M15"/>
      <c r="N15"/>
      <c r="O15"/>
      <c r="P15"/>
      <c r="Q15"/>
      <c r="R15"/>
      <c r="S15"/>
      <c r="T15"/>
      <c r="U15"/>
      <c r="V15"/>
    </row>
    <row r="16" spans="1:22" ht="12.75">
      <c r="A16" s="46">
        <f>A8+216</f>
        <v>399.9087</v>
      </c>
      <c r="B16" s="17">
        <f>0.3048*546</f>
        <v>166.4208</v>
      </c>
      <c r="C16" s="19" t="s">
        <v>250</v>
      </c>
      <c r="D16" s="19" t="s">
        <v>241</v>
      </c>
      <c r="E16" s="39">
        <v>0.3229166666666667</v>
      </c>
      <c r="F16" s="39">
        <f>E16</f>
        <v>0.3229166666666667</v>
      </c>
      <c r="G16" s="39">
        <f>F16</f>
        <v>0.3229166666666667</v>
      </c>
      <c r="H16"/>
      <c r="I16"/>
      <c r="J16"/>
      <c r="K16"/>
      <c r="L16"/>
      <c r="M16"/>
      <c r="N16"/>
      <c r="O16"/>
      <c r="P16"/>
      <c r="Q16"/>
      <c r="R16"/>
      <c r="S16"/>
      <c r="T16"/>
      <c r="U16"/>
      <c r="V16"/>
    </row>
    <row r="17" spans="1:22" ht="12.75">
      <c r="A17" s="46">
        <f>A8+269</f>
        <v>452.9087</v>
      </c>
      <c r="B17" s="17">
        <f>0.3048*1688</f>
        <v>514.5024000000001</v>
      </c>
      <c r="C17" s="19" t="s">
        <v>252</v>
      </c>
      <c r="D17" s="47"/>
      <c r="E17" s="39">
        <v>0.38333333333333336</v>
      </c>
      <c r="F17" s="39">
        <f>E17</f>
        <v>0.38333333333333336</v>
      </c>
      <c r="G17" s="39">
        <f>F17</f>
        <v>0.38333333333333336</v>
      </c>
      <c r="H17" s="39"/>
      <c r="I17"/>
      <c r="J17"/>
      <c r="K17"/>
      <c r="L17"/>
      <c r="M17"/>
      <c r="N17"/>
      <c r="O17"/>
      <c r="P17"/>
      <c r="Q17"/>
      <c r="R17"/>
      <c r="S17"/>
      <c r="T17"/>
      <c r="U17"/>
      <c r="V17"/>
    </row>
    <row r="18" spans="1:22" ht="12.75">
      <c r="A18" s="46">
        <f>A8+306</f>
        <v>489.9087</v>
      </c>
      <c r="B18" s="17">
        <f>0.3048*2127</f>
        <v>648.3096</v>
      </c>
      <c r="C18" t="s">
        <v>253</v>
      </c>
      <c r="D18" s="47"/>
      <c r="E18" s="39">
        <v>0.4270833333333333</v>
      </c>
      <c r="F18" s="39">
        <f>E18</f>
        <v>0.4270833333333333</v>
      </c>
      <c r="G18" s="39">
        <f>F18</f>
        <v>0.4270833333333333</v>
      </c>
      <c r="H18" s="39"/>
      <c r="I18"/>
      <c r="J18"/>
      <c r="K18"/>
      <c r="L18"/>
      <c r="M18"/>
      <c r="N18"/>
      <c r="O18"/>
      <c r="P18"/>
      <c r="Q18"/>
      <c r="R18"/>
      <c r="S18"/>
      <c r="T18"/>
      <c r="U18"/>
      <c r="V18"/>
    </row>
    <row r="19" spans="1:22" ht="12.75">
      <c r="A19" s="46">
        <f>A8+330</f>
        <v>513.9087</v>
      </c>
      <c r="B19" s="17">
        <f>0.3048*2212</f>
        <v>674.2176000000001</v>
      </c>
      <c r="C19" t="s">
        <v>254</v>
      </c>
      <c r="D19" s="47"/>
      <c r="E19" s="39">
        <v>0.45</v>
      </c>
      <c r="F19" s="39">
        <f>E19</f>
        <v>0.45</v>
      </c>
      <c r="G19" s="39">
        <f>F19</f>
        <v>0.45</v>
      </c>
      <c r="H19" s="39"/>
      <c r="I19"/>
      <c r="J19"/>
      <c r="K19"/>
      <c r="L19"/>
      <c r="O19" s="19"/>
      <c r="P19" s="19"/>
      <c r="Q19"/>
      <c r="R19"/>
      <c r="S19"/>
      <c r="T19"/>
      <c r="U19"/>
      <c r="V19"/>
    </row>
    <row r="20" spans="1:22" ht="12.75">
      <c r="A20" s="46">
        <f>A8+376</f>
        <v>559.9087</v>
      </c>
      <c r="B20" s="17">
        <f>0.3048*1732</f>
        <v>527.9136</v>
      </c>
      <c r="C20" s="39" t="s">
        <v>255</v>
      </c>
      <c r="D20" s="47"/>
      <c r="E20" s="39">
        <v>0.4930555555555556</v>
      </c>
      <c r="F20" s="39">
        <v>0.49375</v>
      </c>
      <c r="G20" s="39">
        <f>F20</f>
        <v>0.49375</v>
      </c>
      <c r="H20" s="39">
        <v>0.6041666666666666</v>
      </c>
      <c r="I20"/>
      <c r="J20"/>
      <c r="K20"/>
      <c r="L20"/>
      <c r="O20" s="19"/>
      <c r="P20" s="19"/>
      <c r="Q20"/>
      <c r="R20"/>
      <c r="S20"/>
      <c r="T20"/>
      <c r="U20"/>
      <c r="V20"/>
    </row>
    <row r="21" spans="1:22" ht="12.75">
      <c r="A21" s="46">
        <f>A8+393</f>
        <v>576.9087</v>
      </c>
      <c r="B21" s="17">
        <f>0.3048*1368</f>
        <v>416.9664</v>
      </c>
      <c r="C21" s="19" t="s">
        <v>256</v>
      </c>
      <c r="D21" s="19" t="s">
        <v>246</v>
      </c>
      <c r="E21" s="39"/>
      <c r="F21" s="39">
        <v>0.5208333333333334</v>
      </c>
      <c r="G21" s="39">
        <f>F21</f>
        <v>0.5208333333333334</v>
      </c>
      <c r="H21" s="39">
        <v>0.6319444444444444</v>
      </c>
      <c r="I21"/>
      <c r="J21"/>
      <c r="K21"/>
      <c r="L21"/>
      <c r="M21"/>
      <c r="N21"/>
      <c r="O21"/>
      <c r="P21"/>
      <c r="Q21"/>
      <c r="R21"/>
      <c r="S21"/>
      <c r="T21"/>
      <c r="U21"/>
      <c r="V21"/>
    </row>
    <row r="22" spans="1:22" ht="12.75">
      <c r="A22" s="46">
        <f>A8+393</f>
        <v>576.9087</v>
      </c>
      <c r="B22" s="17">
        <f>0.3048*1368</f>
        <v>416.9664</v>
      </c>
      <c r="C22" s="19" t="s">
        <v>256</v>
      </c>
      <c r="D22" s="19" t="s">
        <v>241</v>
      </c>
      <c r="E22" s="39"/>
      <c r="F22" s="39">
        <v>0.5416666666666666</v>
      </c>
      <c r="G22" s="39">
        <f>F22</f>
        <v>0.5416666666666666</v>
      </c>
      <c r="H22" s="39">
        <v>0.6354166666666666</v>
      </c>
      <c r="I22"/>
      <c r="J22"/>
      <c r="K22"/>
      <c r="L22"/>
      <c r="M22"/>
      <c r="N22"/>
      <c r="O22"/>
      <c r="P22"/>
      <c r="Q22"/>
      <c r="R22"/>
      <c r="S22"/>
      <c r="T22"/>
      <c r="U22"/>
      <c r="V22"/>
    </row>
    <row r="23" spans="1:22" ht="12.75">
      <c r="A23" s="46">
        <f>A8+479</f>
        <v>662.9087</v>
      </c>
      <c r="B23" s="17">
        <f>0.3048*362</f>
        <v>110.33760000000001</v>
      </c>
      <c r="C23" s="19" t="s">
        <v>257</v>
      </c>
      <c r="D23" s="47"/>
      <c r="E23" s="39"/>
      <c r="F23" s="39">
        <v>0.6284722222222222</v>
      </c>
      <c r="G23" s="39">
        <f>F23</f>
        <v>0.6284722222222222</v>
      </c>
      <c r="H23" s="39">
        <v>0.7222222222222222</v>
      </c>
      <c r="I23"/>
      <c r="J23"/>
      <c r="K23"/>
      <c r="L23"/>
      <c r="M23"/>
      <c r="N23"/>
      <c r="O23"/>
      <c r="P23"/>
      <c r="Q23"/>
      <c r="R23"/>
      <c r="S23"/>
      <c r="T23"/>
      <c r="U23"/>
      <c r="V23"/>
    </row>
    <row r="24" spans="1:22" ht="12.75">
      <c r="A24" s="46">
        <f>A8+573</f>
        <v>756.9087</v>
      </c>
      <c r="B24" s="17">
        <f>0.3048*448</f>
        <v>136.5504</v>
      </c>
      <c r="C24" s="19" t="s">
        <v>258</v>
      </c>
      <c r="D24" s="19" t="s">
        <v>246</v>
      </c>
      <c r="E24" s="39"/>
      <c r="F24" s="39">
        <v>0.7291666666666666</v>
      </c>
      <c r="G24" s="39">
        <f>F24</f>
        <v>0.7291666666666666</v>
      </c>
      <c r="H24" s="39">
        <v>0.8229166666666666</v>
      </c>
      <c r="I24"/>
      <c r="J24"/>
      <c r="K24"/>
      <c r="L24"/>
      <c r="M24"/>
      <c r="N24"/>
      <c r="O24"/>
      <c r="P24"/>
      <c r="Q24"/>
      <c r="R24"/>
      <c r="S24"/>
      <c r="T24"/>
      <c r="U24"/>
      <c r="V24"/>
    </row>
    <row r="25" spans="2:22" ht="12.75">
      <c r="B25"/>
      <c r="C25" t="s">
        <v>259</v>
      </c>
      <c r="D25" s="19"/>
      <c r="E25"/>
      <c r="F25"/>
      <c r="G25"/>
      <c r="H25"/>
      <c r="I25"/>
      <c r="J25"/>
      <c r="K25"/>
      <c r="L25"/>
      <c r="M25"/>
      <c r="N25"/>
      <c r="O25"/>
      <c r="P25"/>
      <c r="Q25"/>
      <c r="R25"/>
      <c r="S25"/>
      <c r="T25"/>
      <c r="U25"/>
      <c r="V25"/>
    </row>
    <row r="26" spans="1:22" ht="12.75">
      <c r="A26"/>
      <c r="B26"/>
      <c r="C26" t="s">
        <v>260</v>
      </c>
      <c r="D26"/>
      <c r="E26"/>
      <c r="F26"/>
      <c r="G26" s="43"/>
      <c r="H26"/>
      <c r="I26"/>
      <c r="J26"/>
      <c r="K26"/>
      <c r="L26"/>
      <c r="M26"/>
      <c r="N26"/>
      <c r="O26"/>
      <c r="P26"/>
      <c r="Q26"/>
      <c r="R26"/>
      <c r="S26"/>
      <c r="T26"/>
      <c r="U26"/>
      <c r="V26"/>
    </row>
    <row r="27" spans="2:22" ht="12.75">
      <c r="B27"/>
      <c r="C27" s="19" t="s">
        <v>261</v>
      </c>
      <c r="D27" s="19"/>
      <c r="E27"/>
      <c r="F27" s="43"/>
      <c r="G27" s="43"/>
      <c r="H27"/>
      <c r="I27"/>
      <c r="J27"/>
      <c r="K27"/>
      <c r="L27"/>
      <c r="M27"/>
      <c r="N27"/>
      <c r="O27"/>
      <c r="P27"/>
      <c r="Q27"/>
      <c r="R27"/>
      <c r="S27"/>
      <c r="T27"/>
      <c r="U27"/>
      <c r="V27"/>
    </row>
    <row r="28" spans="1:22" ht="12.75">
      <c r="A28"/>
      <c r="B28"/>
      <c r="C28" s="19" t="s">
        <v>262</v>
      </c>
      <c r="D28"/>
      <c r="E28"/>
      <c r="F28"/>
      <c r="G28"/>
      <c r="H28"/>
      <c r="I28"/>
      <c r="J28"/>
      <c r="K28"/>
      <c r="L28"/>
      <c r="M28"/>
      <c r="N28"/>
      <c r="O28"/>
      <c r="P28"/>
      <c r="Q28"/>
      <c r="R28"/>
      <c r="S28"/>
      <c r="T28"/>
      <c r="U28"/>
      <c r="V28"/>
    </row>
    <row r="29" spans="1:22" ht="12.75">
      <c r="A29"/>
      <c r="B29"/>
      <c r="C29"/>
      <c r="D29"/>
      <c r="E29"/>
      <c r="F29"/>
      <c r="G29"/>
      <c r="H29"/>
      <c r="I29"/>
      <c r="J29"/>
      <c r="K29"/>
      <c r="L29"/>
      <c r="M29"/>
      <c r="N29"/>
      <c r="O29"/>
      <c r="P29"/>
      <c r="Q29"/>
      <c r="R29"/>
      <c r="S29"/>
      <c r="T29"/>
      <c r="U29"/>
      <c r="V29"/>
    </row>
    <row r="30" spans="1:8" ht="12.75">
      <c r="A30" s="50" t="s">
        <v>2</v>
      </c>
      <c r="B30" s="36" t="s">
        <v>222</v>
      </c>
      <c r="C30" s="42" t="s">
        <v>237</v>
      </c>
      <c r="D30" s="19"/>
      <c r="E30" s="41" t="s">
        <v>38</v>
      </c>
      <c r="F30" s="41" t="s">
        <v>31</v>
      </c>
      <c r="G30" s="41" t="s">
        <v>38</v>
      </c>
      <c r="H30" s="41" t="s">
        <v>38</v>
      </c>
    </row>
    <row r="31" spans="2:8" ht="12.75">
      <c r="B31"/>
      <c r="C31" s="35"/>
      <c r="D31" s="19"/>
      <c r="E31">
        <v>3</v>
      </c>
      <c r="F31" s="16">
        <v>3</v>
      </c>
      <c r="G31" s="16">
        <v>7</v>
      </c>
      <c r="H31" s="16">
        <v>9</v>
      </c>
    </row>
    <row r="32" spans="2:8" ht="12.75">
      <c r="B32"/>
      <c r="C32" s="19"/>
      <c r="D32" s="19"/>
      <c r="E32" s="43" t="s">
        <v>39</v>
      </c>
      <c r="F32" s="43" t="s">
        <v>40</v>
      </c>
      <c r="G32" s="43" t="s">
        <v>36</v>
      </c>
      <c r="H32" s="43" t="s">
        <v>47</v>
      </c>
    </row>
    <row r="33" spans="1:8" ht="12.75">
      <c r="A33" s="17">
        <f>A24-A24</f>
        <v>0</v>
      </c>
      <c r="B33" s="17">
        <f>B24-B24</f>
        <v>0</v>
      </c>
      <c r="C33" s="19" t="s">
        <v>258</v>
      </c>
      <c r="D33" s="19" t="s">
        <v>241</v>
      </c>
      <c r="E33" s="39">
        <v>0.3333333333333333</v>
      </c>
      <c r="F33" s="39">
        <f>E33</f>
        <v>0.3333333333333333</v>
      </c>
      <c r="G33"/>
      <c r="H33" s="39">
        <f>F33</f>
        <v>0.3333333333333333</v>
      </c>
    </row>
    <row r="34" spans="1:8" ht="12.75">
      <c r="A34" s="17">
        <f>A24-A23</f>
        <v>94</v>
      </c>
      <c r="B34" s="17">
        <f>B23</f>
        <v>110.33760000000001</v>
      </c>
      <c r="C34" s="19" t="s">
        <v>257</v>
      </c>
      <c r="D34" s="47"/>
      <c r="E34" s="39">
        <v>0.4340277777777778</v>
      </c>
      <c r="F34" s="39">
        <f>E34</f>
        <v>0.4340277777777778</v>
      </c>
      <c r="G34"/>
      <c r="H34" s="39">
        <f>F34</f>
        <v>0.4340277777777778</v>
      </c>
    </row>
    <row r="35" spans="1:8" ht="12.75">
      <c r="A35" s="17">
        <f>A24-A22</f>
        <v>180</v>
      </c>
      <c r="B35" s="17">
        <f>B22</f>
        <v>416.9664</v>
      </c>
      <c r="C35" s="19" t="s">
        <v>256</v>
      </c>
      <c r="D35" s="19" t="s">
        <v>246</v>
      </c>
      <c r="E35" s="39">
        <v>0.5208333333333334</v>
      </c>
      <c r="F35" s="39">
        <f>E35</f>
        <v>0.5208333333333334</v>
      </c>
      <c r="G35"/>
      <c r="H35" s="39">
        <f>F35</f>
        <v>0.5208333333333334</v>
      </c>
    </row>
    <row r="36" spans="1:8" ht="12.75">
      <c r="A36" s="17">
        <f>A24-A21</f>
        <v>180</v>
      </c>
      <c r="B36" s="17">
        <f>B21</f>
        <v>416.9664</v>
      </c>
      <c r="C36" s="19" t="s">
        <v>256</v>
      </c>
      <c r="D36" s="19" t="s">
        <v>241</v>
      </c>
      <c r="E36" s="39">
        <v>0.5416666666666666</v>
      </c>
      <c r="F36" s="39">
        <f>E36</f>
        <v>0.5416666666666666</v>
      </c>
      <c r="G36"/>
      <c r="H36" s="39">
        <f>F36</f>
        <v>0.5416666666666666</v>
      </c>
    </row>
    <row r="37" spans="1:8" ht="12.75">
      <c r="A37" s="17">
        <f>A24-A20</f>
        <v>197</v>
      </c>
      <c r="B37" s="17">
        <f>B20</f>
        <v>527.9136</v>
      </c>
      <c r="C37" s="39" t="s">
        <v>255</v>
      </c>
      <c r="D37" s="47"/>
      <c r="E37" s="39">
        <v>0.5694444444444444</v>
      </c>
      <c r="F37" s="39">
        <f>E37</f>
        <v>0.5694444444444444</v>
      </c>
      <c r="G37" s="39">
        <f>F37</f>
        <v>0.5694444444444444</v>
      </c>
      <c r="H37" s="39">
        <f>G37</f>
        <v>0.5694444444444444</v>
      </c>
    </row>
    <row r="38" spans="1:7" ht="12.75">
      <c r="A38" s="17">
        <f>A24-A19</f>
        <v>243</v>
      </c>
      <c r="B38" s="17">
        <f>B19</f>
        <v>674.2176000000001</v>
      </c>
      <c r="C38" t="s">
        <v>254</v>
      </c>
      <c r="D38" s="47"/>
      <c r="E38" s="39">
        <v>0.6180555555555556</v>
      </c>
      <c r="F38" s="39">
        <f>E38</f>
        <v>0.6180555555555556</v>
      </c>
      <c r="G38" s="39">
        <f>F38</f>
        <v>0.6180555555555556</v>
      </c>
    </row>
    <row r="39" spans="1:7" ht="12.75">
      <c r="A39" s="17">
        <f>A24-A18</f>
        <v>266.99999999999994</v>
      </c>
      <c r="B39" s="17">
        <f>B18</f>
        <v>648.3096</v>
      </c>
      <c r="C39" t="s">
        <v>253</v>
      </c>
      <c r="D39" s="47"/>
      <c r="E39" s="39">
        <v>0.6416666666666667</v>
      </c>
      <c r="F39" s="39">
        <f>E39</f>
        <v>0.6416666666666667</v>
      </c>
      <c r="G39" s="39">
        <f>F39</f>
        <v>0.6416666666666667</v>
      </c>
    </row>
    <row r="40" spans="1:7" ht="12.75">
      <c r="A40" s="17">
        <f>A24-A17</f>
        <v>303.99999999999994</v>
      </c>
      <c r="B40" s="17">
        <f>B17</f>
        <v>514.5024000000001</v>
      </c>
      <c r="C40" s="19" t="s">
        <v>252</v>
      </c>
      <c r="D40" s="47"/>
      <c r="E40" s="39">
        <v>0.6805555555555556</v>
      </c>
      <c r="F40" s="39">
        <f>E40</f>
        <v>0.6805555555555556</v>
      </c>
      <c r="G40" s="39">
        <f>F40</f>
        <v>0.6805555555555556</v>
      </c>
    </row>
    <row r="41" spans="1:7" ht="12.75">
      <c r="A41" s="51">
        <f>A24-A16</f>
        <v>356.99999999999994</v>
      </c>
      <c r="B41" s="51">
        <f>B16</f>
        <v>166.4208</v>
      </c>
      <c r="C41" s="19" t="s">
        <v>250</v>
      </c>
      <c r="D41" s="19" t="s">
        <v>246</v>
      </c>
      <c r="E41" s="39">
        <v>0.7395833333333334</v>
      </c>
      <c r="F41" s="39">
        <f>E41</f>
        <v>0.7395833333333334</v>
      </c>
      <c r="G41" s="39">
        <f>F41</f>
        <v>0.7395833333333334</v>
      </c>
    </row>
    <row r="42" spans="1:7" ht="12.75">
      <c r="A42" s="49" t="s">
        <v>251</v>
      </c>
      <c r="B42" s="49" t="s">
        <v>251</v>
      </c>
      <c r="C42" s="19"/>
      <c r="D42" s="19"/>
      <c r="E42" s="16">
        <v>5</v>
      </c>
      <c r="F42" s="16">
        <v>1</v>
      </c>
      <c r="G42"/>
    </row>
    <row r="43" spans="1:7" ht="12.75">
      <c r="A43" s="49" t="s">
        <v>251</v>
      </c>
      <c r="B43" s="49" t="s">
        <v>251</v>
      </c>
      <c r="C43" s="19"/>
      <c r="D43" s="19"/>
      <c r="E43" s="43" t="s">
        <v>40</v>
      </c>
      <c r="F43" s="43" t="s">
        <v>32</v>
      </c>
      <c r="G43"/>
    </row>
    <row r="44" spans="1:7" ht="12.75">
      <c r="A44" s="17">
        <f>A24-A13</f>
        <v>356.99999999999994</v>
      </c>
      <c r="B44" s="17">
        <f>B13</f>
        <v>166.4208</v>
      </c>
      <c r="C44" s="19" t="s">
        <v>250</v>
      </c>
      <c r="D44" s="19" t="s">
        <v>241</v>
      </c>
      <c r="E44" s="39">
        <f>F44</f>
        <v>0.3125</v>
      </c>
      <c r="F44" s="39">
        <v>0.3125</v>
      </c>
      <c r="G44"/>
    </row>
    <row r="45" spans="1:7" ht="12.75">
      <c r="A45" s="17">
        <f>A24-A12</f>
        <v>391.99999999999994</v>
      </c>
      <c r="B45" s="17">
        <f>B12</f>
        <v>107.89920000000001</v>
      </c>
      <c r="C45" s="19" t="s">
        <v>249</v>
      </c>
      <c r="D45" s="19"/>
      <c r="E45" s="39">
        <f>F45</f>
        <v>0.3472222222222222</v>
      </c>
      <c r="F45" s="39">
        <v>0.3472222222222222</v>
      </c>
      <c r="G45"/>
    </row>
    <row r="46" spans="1:7" ht="12.75">
      <c r="A46" s="17">
        <f>A24-A11</f>
        <v>499.99999999999994</v>
      </c>
      <c r="B46" s="17">
        <f>B11</f>
        <v>103.3272</v>
      </c>
      <c r="C46" s="19" t="s">
        <v>248</v>
      </c>
      <c r="D46" s="47"/>
      <c r="E46" s="39">
        <f>F46</f>
        <v>0.4423611111111111</v>
      </c>
      <c r="F46" s="39">
        <v>0.4423611111111111</v>
      </c>
      <c r="G46"/>
    </row>
    <row r="47" spans="1:7" ht="12.75">
      <c r="A47" s="17">
        <f>A24-A10</f>
        <v>514</v>
      </c>
      <c r="B47" s="17">
        <f>B10</f>
        <v>10.972800000000001</v>
      </c>
      <c r="C47" s="19" t="s">
        <v>247</v>
      </c>
      <c r="D47" s="47"/>
      <c r="E47" s="39">
        <f>F47</f>
        <v>0.4576388888888889</v>
      </c>
      <c r="F47" s="39">
        <v>0.4576388888888889</v>
      </c>
      <c r="G47"/>
    </row>
    <row r="48" spans="1:7" ht="12.75">
      <c r="A48" s="17">
        <f>A24-A9</f>
        <v>573</v>
      </c>
      <c r="B48" s="17">
        <f>B9</f>
        <v>11.5824</v>
      </c>
      <c r="C48" s="19" t="s">
        <v>245</v>
      </c>
      <c r="D48" s="19" t="s">
        <v>246</v>
      </c>
      <c r="E48" s="39">
        <f>F48</f>
        <v>0.5208333333333334</v>
      </c>
      <c r="F48" s="39">
        <v>0.5208333333333334</v>
      </c>
      <c r="G48"/>
    </row>
    <row r="49" spans="1:255" ht="12.75">
      <c r="A49" s="32">
        <f>A24-A8</f>
        <v>573</v>
      </c>
      <c r="B49" s="17">
        <f>0.3048*38</f>
        <v>11.5824</v>
      </c>
      <c r="C49" s="19" t="s">
        <v>245</v>
      </c>
      <c r="D49" s="19" t="s">
        <v>241</v>
      </c>
      <c r="E49" s="39">
        <f>F49</f>
        <v>0.5625</v>
      </c>
      <c r="F49" s="39">
        <v>0.5625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32">
        <f>A24-A7</f>
        <v>637.0382</v>
      </c>
      <c r="B50" s="17">
        <f>0.3048*40</f>
        <v>12.192</v>
      </c>
      <c r="C50" s="19" t="s">
        <v>244</v>
      </c>
      <c r="D50" s="19"/>
      <c r="E50" s="39">
        <f>F50</f>
        <v>0.6236111111111111</v>
      </c>
      <c r="F50" s="39">
        <v>0.6236111111111111</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32">
        <f>A24-A6</f>
        <v>674.8497</v>
      </c>
      <c r="B51" s="17">
        <f>B6</f>
        <v>149.6568</v>
      </c>
      <c r="C51" s="19" t="s">
        <v>243</v>
      </c>
      <c r="D51" s="19"/>
      <c r="E51" s="39">
        <f>F51</f>
        <v>0.66875</v>
      </c>
      <c r="F51" s="39">
        <v>0.66875</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32">
        <f>A24-A5</f>
        <v>719.419</v>
      </c>
      <c r="B52" s="17">
        <f>B5</f>
        <v>137.7696</v>
      </c>
      <c r="C52" s="19" t="s">
        <v>242</v>
      </c>
      <c r="D52" s="19"/>
      <c r="E52" s="39">
        <f>F52</f>
        <v>0.7256944444444444</v>
      </c>
      <c r="F52" s="39">
        <v>0.7256944444444444</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32">
        <f>A24-A4</f>
        <v>756.9087</v>
      </c>
      <c r="B53" s="17">
        <f>0.3048*20</f>
        <v>6.096</v>
      </c>
      <c r="C53" s="19" t="s">
        <v>219</v>
      </c>
      <c r="D53" s="19" t="s">
        <v>246</v>
      </c>
      <c r="E53" s="39">
        <f>F53</f>
        <v>0.7708333333333334</v>
      </c>
      <c r="F53" s="39">
        <v>0.7708333333333334</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c r="B54"/>
      <c r="C54" t="s">
        <v>259</v>
      </c>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c r="B55"/>
      <c r="C55" t="s">
        <v>260</v>
      </c>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5" ht="12.75">
      <c r="A56"/>
      <c r="B56"/>
      <c r="C56" s="19" t="s">
        <v>261</v>
      </c>
      <c r="D56" s="19"/>
      <c r="E56"/>
    </row>
    <row r="57" spans="1:5" ht="12.75">
      <c r="A57"/>
      <c r="B57"/>
      <c r="C57" s="19" t="s">
        <v>262</v>
      </c>
      <c r="D57"/>
      <c r="E57"/>
    </row>
    <row r="60" spans="1:5" ht="12.75">
      <c r="A60" s="3">
        <v>1931</v>
      </c>
      <c r="B60"/>
      <c r="C60" s="35" t="s">
        <v>221</v>
      </c>
      <c r="D60"/>
      <c r="E60" s="36"/>
    </row>
    <row r="61" spans="1:5" ht="12.75">
      <c r="A61" s="36" t="s">
        <v>2</v>
      </c>
      <c r="B61" s="36" t="s">
        <v>222</v>
      </c>
      <c r="C61" s="35" t="s">
        <v>223</v>
      </c>
      <c r="D61"/>
      <c r="E61"/>
    </row>
    <row r="62" spans="1:5" ht="12.75">
      <c r="A62"/>
      <c r="B62"/>
      <c r="C62" s="35" t="s">
        <v>224</v>
      </c>
      <c r="D62"/>
      <c r="E62" s="38"/>
    </row>
    <row r="63" spans="1:5" ht="12.75">
      <c r="A63" s="18">
        <v>0</v>
      </c>
      <c r="B63" s="18">
        <v>0</v>
      </c>
      <c r="C63" t="s">
        <v>225</v>
      </c>
      <c r="D63" t="s">
        <v>241</v>
      </c>
      <c r="E63" t="s">
        <v>263</v>
      </c>
    </row>
    <row r="64" spans="1:5" ht="12.75">
      <c r="A64" s="18">
        <v>2.73</v>
      </c>
      <c r="B64" s="18">
        <v>0</v>
      </c>
      <c r="C64" t="s">
        <v>227</v>
      </c>
      <c r="D64"/>
      <c r="E64" s="39"/>
    </row>
    <row r="65" spans="1:5" ht="12.75">
      <c r="A65" s="18">
        <v>31.83</v>
      </c>
      <c r="B65" s="18">
        <f>0.3048*2885</f>
        <v>879.3480000000001</v>
      </c>
      <c r="C65" t="s">
        <v>228</v>
      </c>
      <c r="D65"/>
      <c r="E65" s="40"/>
    </row>
    <row r="66" spans="1:5" ht="12.75">
      <c r="A66" s="18">
        <v>52.13</v>
      </c>
      <c r="B66" s="18">
        <f>0.3048*2916</f>
        <v>888.7968000000001</v>
      </c>
      <c r="C66" t="s">
        <v>229</v>
      </c>
      <c r="D66"/>
      <c r="E66" s="40"/>
    </row>
    <row r="67" spans="1:5" ht="12.75">
      <c r="A67" s="18">
        <v>64.33</v>
      </c>
      <c r="B67" s="18">
        <f>0.3048*2158</f>
        <v>657.7584</v>
      </c>
      <c r="C67" t="s">
        <v>230</v>
      </c>
      <c r="D67"/>
      <c r="E67" s="37"/>
    </row>
    <row r="68" spans="1:5" ht="12.75">
      <c r="A68" s="18">
        <v>107.63</v>
      </c>
      <c r="B68" s="18">
        <f>0.3048*2164</f>
        <v>659.5872</v>
      </c>
      <c r="C68" t="s">
        <v>116</v>
      </c>
      <c r="D68"/>
      <c r="E68" s="40"/>
    </row>
    <row r="69" spans="1:5" ht="12.75">
      <c r="A69" s="18">
        <v>176.83</v>
      </c>
      <c r="B69" s="18">
        <f>0.3048*2079</f>
        <v>633.6792</v>
      </c>
      <c r="C69" t="s">
        <v>231</v>
      </c>
      <c r="D69" t="s">
        <v>246</v>
      </c>
      <c r="E69" s="40"/>
    </row>
    <row r="70" spans="1:5" ht="12.75">
      <c r="A70"/>
      <c r="B70"/>
      <c r="C70" t="s">
        <v>232</v>
      </c>
      <c r="D70"/>
      <c r="E70"/>
    </row>
    <row r="71" spans="1:5" ht="12.75">
      <c r="A71"/>
      <c r="B71"/>
      <c r="C71" t="s">
        <v>233</v>
      </c>
      <c r="D71"/>
      <c r="E71"/>
    </row>
    <row r="72" spans="1:5" ht="12.75">
      <c r="A72"/>
      <c r="B72"/>
      <c r="C72" t="s">
        <v>234</v>
      </c>
      <c r="D72"/>
      <c r="E72"/>
    </row>
    <row r="73" spans="1:5" ht="12.75">
      <c r="A73"/>
      <c r="B73"/>
      <c r="C73" t="s">
        <v>235</v>
      </c>
      <c r="D73"/>
      <c r="E73"/>
    </row>
    <row r="74" spans="1:5" ht="12.75">
      <c r="A74"/>
      <c r="B74"/>
      <c r="C74" t="s">
        <v>236</v>
      </c>
      <c r="D74"/>
      <c r="E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5" ht="12.75">
      <c r="A76"/>
      <c r="B76"/>
      <c r="C76" s="35" t="s">
        <v>221</v>
      </c>
      <c r="D76"/>
      <c r="E76" s="36"/>
    </row>
    <row r="77" spans="1:5" ht="12.75">
      <c r="A77"/>
      <c r="B77"/>
      <c r="C77" s="35"/>
      <c r="D77"/>
      <c r="E77" s="36"/>
    </row>
    <row r="78" spans="1:5" ht="12.75">
      <c r="A78" s="36" t="s">
        <v>2</v>
      </c>
      <c r="B78" s="36" t="s">
        <v>222</v>
      </c>
      <c r="C78" s="35" t="s">
        <v>237</v>
      </c>
      <c r="D78"/>
      <c r="E78"/>
    </row>
    <row r="79" spans="1:5" ht="12.75">
      <c r="A79"/>
      <c r="B79"/>
      <c r="C79" s="35" t="s">
        <v>224</v>
      </c>
      <c r="D79"/>
      <c r="E79" s="38"/>
    </row>
    <row r="80" spans="1:5" ht="12.75">
      <c r="A80" s="18">
        <f>A69-A69</f>
        <v>0</v>
      </c>
      <c r="B80" s="18">
        <f>0.3048*2079</f>
        <v>633.6792</v>
      </c>
      <c r="C80" t="s">
        <v>231</v>
      </c>
      <c r="D80" t="s">
        <v>241</v>
      </c>
      <c r="E80" t="s">
        <v>264</v>
      </c>
    </row>
    <row r="81" spans="1:5" ht="12.75">
      <c r="A81" s="34">
        <f>A69-A68</f>
        <v>69.20000000000002</v>
      </c>
      <c r="B81" s="18">
        <f>0.3048*2164</f>
        <v>659.5872</v>
      </c>
      <c r="C81" t="s">
        <v>116</v>
      </c>
      <c r="D81"/>
      <c r="E81" s="40"/>
    </row>
    <row r="82" spans="1:5" ht="12.75">
      <c r="A82" s="34">
        <f>A69-A67</f>
        <v>112.50000000000001</v>
      </c>
      <c r="B82" s="18">
        <f>0.3048*2158</f>
        <v>657.7584</v>
      </c>
      <c r="C82" t="s">
        <v>230</v>
      </c>
      <c r="D82"/>
      <c r="E82" s="40"/>
    </row>
    <row r="83" spans="1:5" ht="12.75">
      <c r="A83" s="34">
        <f>A69-A66</f>
        <v>124.70000000000002</v>
      </c>
      <c r="B83" s="18">
        <f>0.3048*2916</f>
        <v>888.7968000000001</v>
      </c>
      <c r="C83" t="s">
        <v>229</v>
      </c>
      <c r="D83"/>
      <c r="E83" s="40"/>
    </row>
    <row r="84" spans="1:5" ht="12.75">
      <c r="A84" s="34">
        <f>A69-A65</f>
        <v>145</v>
      </c>
      <c r="B84" s="18">
        <f>0.3048*2885</f>
        <v>879.3480000000001</v>
      </c>
      <c r="C84" t="s">
        <v>228</v>
      </c>
      <c r="D84"/>
      <c r="E84" s="40"/>
    </row>
    <row r="85" spans="1:5" ht="12.75">
      <c r="A85" s="34">
        <f>A69-A64</f>
        <v>174.10000000000002</v>
      </c>
      <c r="B85" s="18">
        <v>0</v>
      </c>
      <c r="C85" t="s">
        <v>227</v>
      </c>
      <c r="D85" t="s">
        <v>246</v>
      </c>
      <c r="E85" s="39"/>
    </row>
    <row r="86" spans="1:5" ht="12.75">
      <c r="A86" s="34">
        <f>A69-A63</f>
        <v>176.83</v>
      </c>
      <c r="B86" s="18">
        <v>0</v>
      </c>
      <c r="C86" t="s">
        <v>225</v>
      </c>
      <c r="D86" t="s">
        <v>246</v>
      </c>
      <c r="E86" s="40"/>
    </row>
    <row r="87" spans="1:5" ht="12.75">
      <c r="A87"/>
      <c r="B87"/>
      <c r="C87" t="s">
        <v>239</v>
      </c>
      <c r="D87"/>
      <c r="E87" s="12"/>
    </row>
    <row r="88" spans="1:5" ht="12.75">
      <c r="A88"/>
      <c r="B88"/>
      <c r="C88" t="s">
        <v>233</v>
      </c>
      <c r="D88"/>
      <c r="E88"/>
    </row>
    <row r="89" spans="1:5" ht="12.75">
      <c r="A89"/>
      <c r="B89"/>
      <c r="C89" t="s">
        <v>234</v>
      </c>
      <c r="D89"/>
      <c r="E89"/>
    </row>
    <row r="90" spans="1:5" ht="12.75">
      <c r="A90"/>
      <c r="B90"/>
      <c r="C90" t="s">
        <v>235</v>
      </c>
      <c r="D90"/>
      <c r="E90"/>
    </row>
    <row r="91" spans="1:5" ht="12.75">
      <c r="A91"/>
      <c r="B91"/>
      <c r="C91" t="s">
        <v>236</v>
      </c>
      <c r="D91"/>
      <c r="E91"/>
    </row>
    <row r="92" spans="1:5" ht="12.75">
      <c r="A92"/>
      <c r="B92"/>
      <c r="C92"/>
      <c r="D92"/>
      <c r="E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5" ht="12.75">
      <c r="A99"/>
      <c r="B99"/>
      <c r="C99"/>
      <c r="D99"/>
      <c r="E9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4.xml><?xml version="1.0" encoding="utf-8"?>
<worksheet xmlns="http://schemas.openxmlformats.org/spreadsheetml/2006/main" xmlns:r="http://schemas.openxmlformats.org/officeDocument/2006/relationships">
  <dimension ref="A1:IU99"/>
  <sheetViews>
    <sheetView zoomScale="80" zoomScaleNormal="80" workbookViewId="0" topLeftCell="A1">
      <selection activeCell="A1" sqref="A1"/>
    </sheetView>
  </sheetViews>
  <sheetFormatPr defaultColWidth="12.57421875" defaultRowHeight="12.75"/>
  <cols>
    <col min="1" max="1" width="5.57421875" style="16" customWidth="1"/>
    <col min="2" max="2" width="7.421875" style="16" customWidth="1"/>
    <col min="3" max="3" width="17.00390625" style="16" customWidth="1"/>
    <col min="4" max="4" width="2.140625" style="16" customWidth="1"/>
    <col min="5" max="255" width="11.57421875" style="16" customWidth="1"/>
    <col min="256" max="16384" width="11.57421875" style="0" customWidth="1"/>
  </cols>
  <sheetData>
    <row r="1" spans="1:22" ht="12.75">
      <c r="A1" s="3" t="s">
        <v>265</v>
      </c>
      <c r="B1"/>
      <c r="C1" s="3" t="s">
        <v>34</v>
      </c>
      <c r="D1" s="19"/>
      <c r="E1" s="41" t="s">
        <v>31</v>
      </c>
      <c r="F1"/>
      <c r="G1"/>
      <c r="H1"/>
      <c r="I1"/>
      <c r="J1"/>
      <c r="K1"/>
      <c r="L1"/>
      <c r="M1"/>
      <c r="N1"/>
      <c r="O1"/>
      <c r="P1"/>
      <c r="Q1"/>
      <c r="R1"/>
      <c r="S1"/>
      <c r="T1"/>
      <c r="U1"/>
      <c r="V1"/>
    </row>
    <row r="2" spans="1:22" ht="12.75">
      <c r="A2" s="36" t="s">
        <v>2</v>
      </c>
      <c r="B2" s="36" t="s">
        <v>222</v>
      </c>
      <c r="C2" s="42" t="s">
        <v>223</v>
      </c>
      <c r="D2" s="19"/>
      <c r="E2">
        <v>2</v>
      </c>
      <c r="F2"/>
      <c r="G2"/>
      <c r="H2"/>
      <c r="I2"/>
      <c r="J2"/>
      <c r="K2"/>
      <c r="L2"/>
      <c r="M2"/>
      <c r="N2"/>
      <c r="O2"/>
      <c r="P2"/>
      <c r="Q2"/>
      <c r="R2"/>
      <c r="S2"/>
      <c r="T2"/>
      <c r="U2"/>
      <c r="V2"/>
    </row>
    <row r="3" spans="1:22" ht="12.75">
      <c r="A3"/>
      <c r="B3"/>
      <c r="C3" s="35" t="s">
        <v>240</v>
      </c>
      <c r="D3" s="19"/>
      <c r="E3" s="52" t="s">
        <v>42</v>
      </c>
      <c r="F3"/>
      <c r="G3"/>
      <c r="H3"/>
      <c r="I3"/>
      <c r="J3"/>
      <c r="K3"/>
      <c r="L3"/>
      <c r="M3"/>
      <c r="N3"/>
      <c r="O3"/>
      <c r="P3"/>
      <c r="Q3"/>
      <c r="R3"/>
      <c r="S3"/>
      <c r="T3"/>
      <c r="U3"/>
      <c r="V3"/>
    </row>
    <row r="4" spans="1:22" ht="12.75">
      <c r="A4" s="32">
        <v>0</v>
      </c>
      <c r="B4" s="44">
        <f>B53</f>
        <v>6.096</v>
      </c>
      <c r="C4" s="19" t="s">
        <v>219</v>
      </c>
      <c r="D4" s="19" t="s">
        <v>241</v>
      </c>
      <c r="E4" s="53">
        <v>0.3125</v>
      </c>
      <c r="F4"/>
      <c r="G4"/>
      <c r="H4"/>
      <c r="I4"/>
      <c r="J4"/>
      <c r="K4"/>
      <c r="L4"/>
      <c r="M4"/>
      <c r="N4"/>
      <c r="O4"/>
      <c r="P4"/>
      <c r="Q4"/>
      <c r="R4"/>
      <c r="S4"/>
      <c r="T4"/>
      <c r="U4"/>
      <c r="V4"/>
    </row>
    <row r="5" spans="1:22" ht="12.75">
      <c r="A5" s="32">
        <f>1.609*23.3</f>
        <v>37.4897</v>
      </c>
      <c r="B5" s="44">
        <f>0.3048*452</f>
        <v>137.7696</v>
      </c>
      <c r="C5" s="19" t="s">
        <v>242</v>
      </c>
      <c r="D5" s="19"/>
      <c r="E5" s="53">
        <v>0.3576388888888889</v>
      </c>
      <c r="F5"/>
      <c r="G5"/>
      <c r="H5"/>
      <c r="I5"/>
      <c r="J5"/>
      <c r="K5"/>
      <c r="L5"/>
      <c r="M5"/>
      <c r="N5"/>
      <c r="O5"/>
      <c r="P5"/>
      <c r="Q5"/>
      <c r="R5"/>
      <c r="S5"/>
      <c r="T5"/>
      <c r="U5"/>
      <c r="V5"/>
    </row>
    <row r="6" spans="1:22" ht="12.75">
      <c r="A6" s="32">
        <f>1.609*51</f>
        <v>82.059</v>
      </c>
      <c r="B6" s="45">
        <f>0.3048*491</f>
        <v>149.6568</v>
      </c>
      <c r="C6" s="19" t="s">
        <v>243</v>
      </c>
      <c r="D6" s="19"/>
      <c r="E6" s="53">
        <v>0.41458333333333336</v>
      </c>
      <c r="F6"/>
      <c r="G6"/>
      <c r="H6"/>
      <c r="I6"/>
      <c r="J6"/>
      <c r="K6"/>
      <c r="L6"/>
      <c r="M6"/>
      <c r="N6"/>
      <c r="O6"/>
      <c r="P6"/>
      <c r="Q6"/>
      <c r="R6"/>
      <c r="S6"/>
      <c r="T6"/>
      <c r="U6"/>
      <c r="V6"/>
    </row>
    <row r="7" spans="1:22" ht="12.75">
      <c r="A7" s="32">
        <v>119.8705</v>
      </c>
      <c r="B7" s="17">
        <f>B50</f>
        <v>12.192</v>
      </c>
      <c r="C7" s="19" t="s">
        <v>244</v>
      </c>
      <c r="D7" s="19"/>
      <c r="E7" s="53">
        <v>0.45069444444444445</v>
      </c>
      <c r="F7"/>
      <c r="G7"/>
      <c r="H7"/>
      <c r="I7"/>
      <c r="J7"/>
      <c r="K7"/>
      <c r="L7"/>
      <c r="M7"/>
      <c r="N7"/>
      <c r="O7"/>
      <c r="P7"/>
      <c r="Q7"/>
      <c r="R7"/>
      <c r="S7"/>
      <c r="T7"/>
      <c r="U7"/>
      <c r="V7"/>
    </row>
    <row r="8" spans="1:22" ht="12.75">
      <c r="A8" s="32">
        <v>183.9087</v>
      </c>
      <c r="B8" s="17">
        <f>B49</f>
        <v>11.5824</v>
      </c>
      <c r="C8" s="19" t="s">
        <v>245</v>
      </c>
      <c r="D8" s="19" t="s">
        <v>246</v>
      </c>
      <c r="E8" s="53">
        <v>0.5104166666666666</v>
      </c>
      <c r="F8"/>
      <c r="G8"/>
      <c r="H8"/>
      <c r="I8"/>
      <c r="J8"/>
      <c r="K8"/>
      <c r="L8"/>
      <c r="M8"/>
      <c r="N8"/>
      <c r="O8"/>
      <c r="P8"/>
      <c r="Q8"/>
      <c r="R8"/>
      <c r="S8"/>
      <c r="T8"/>
      <c r="U8"/>
      <c r="V8"/>
    </row>
    <row r="9" spans="1:22" ht="12.75">
      <c r="A9" s="46">
        <f>A8+0</f>
        <v>183.9087</v>
      </c>
      <c r="B9" s="17">
        <f>0.3048*38</f>
        <v>11.5824</v>
      </c>
      <c r="C9" s="19" t="s">
        <v>245</v>
      </c>
      <c r="D9" s="19" t="s">
        <v>241</v>
      </c>
      <c r="E9" s="53">
        <v>0.5520833333333334</v>
      </c>
      <c r="F9"/>
      <c r="G9"/>
      <c r="H9"/>
      <c r="I9"/>
      <c r="J9"/>
      <c r="K9"/>
      <c r="L9"/>
      <c r="M9"/>
      <c r="N9"/>
      <c r="O9"/>
      <c r="P9"/>
      <c r="Q9"/>
      <c r="R9"/>
      <c r="S9"/>
      <c r="T9"/>
      <c r="U9"/>
      <c r="V9"/>
    </row>
    <row r="10" spans="1:22" ht="12.75">
      <c r="A10" s="46">
        <f>A8+59</f>
        <v>242.9087</v>
      </c>
      <c r="B10" s="17">
        <f>0.3048*36</f>
        <v>10.972800000000001</v>
      </c>
      <c r="C10" s="19" t="s">
        <v>247</v>
      </c>
      <c r="D10" s="47"/>
      <c r="E10" s="53">
        <v>0.6090277777777777</v>
      </c>
      <c r="F10"/>
      <c r="G10"/>
      <c r="H10"/>
      <c r="I10"/>
      <c r="J10"/>
      <c r="K10"/>
      <c r="L10"/>
      <c r="M10"/>
      <c r="N10"/>
      <c r="O10"/>
      <c r="P10"/>
      <c r="Q10"/>
      <c r="R10"/>
      <c r="S10"/>
      <c r="T10"/>
      <c r="U10"/>
      <c r="V10"/>
    </row>
    <row r="11" spans="1:22" ht="12.75">
      <c r="A11" s="46">
        <f>A8+73</f>
        <v>256.9087</v>
      </c>
      <c r="B11" s="17">
        <f>0.3048*339</f>
        <v>103.3272</v>
      </c>
      <c r="C11" s="19" t="s">
        <v>248</v>
      </c>
      <c r="D11" s="47"/>
      <c r="E11" s="53">
        <v>0.6256944444444444</v>
      </c>
      <c r="F11"/>
      <c r="G11"/>
      <c r="H11"/>
      <c r="I11"/>
      <c r="J11"/>
      <c r="K11"/>
      <c r="L11"/>
      <c r="M11"/>
      <c r="N11"/>
      <c r="O11"/>
      <c r="P11"/>
      <c r="Q11"/>
      <c r="R11"/>
      <c r="S11"/>
      <c r="T11"/>
      <c r="U11"/>
      <c r="V11"/>
    </row>
    <row r="12" spans="1:22" ht="12.75">
      <c r="A12" s="46">
        <f>A8+181</f>
        <v>364.9087</v>
      </c>
      <c r="B12" s="17">
        <f>0.3048*354</f>
        <v>107.89920000000001</v>
      </c>
      <c r="C12" s="19" t="s">
        <v>249</v>
      </c>
      <c r="D12" s="19"/>
      <c r="E12" s="53">
        <v>0.7180555555555556</v>
      </c>
      <c r="F12"/>
      <c r="G12"/>
      <c r="H12"/>
      <c r="I12"/>
      <c r="J12"/>
      <c r="K12"/>
      <c r="L12"/>
      <c r="M12"/>
      <c r="N12"/>
      <c r="O12"/>
      <c r="P12"/>
      <c r="Q12"/>
      <c r="R12"/>
      <c r="S12"/>
      <c r="T12"/>
      <c r="U12"/>
      <c r="V12"/>
    </row>
    <row r="13" spans="1:22" ht="12.75">
      <c r="A13" s="46">
        <f>A8+216</f>
        <v>399.9087</v>
      </c>
      <c r="B13" s="17">
        <f>0.3048*546</f>
        <v>166.4208</v>
      </c>
      <c r="C13" s="19" t="s">
        <v>250</v>
      </c>
      <c r="D13" s="19" t="s">
        <v>246</v>
      </c>
      <c r="E13" s="53">
        <v>0.75</v>
      </c>
      <c r="F13"/>
      <c r="G13"/>
      <c r="H13"/>
      <c r="I13"/>
      <c r="J13"/>
      <c r="K13"/>
      <c r="L13"/>
      <c r="M13"/>
      <c r="N13"/>
      <c r="O13"/>
      <c r="P13"/>
      <c r="Q13"/>
      <c r="R13"/>
      <c r="S13"/>
      <c r="T13"/>
      <c r="U13"/>
      <c r="V13"/>
    </row>
    <row r="14" spans="1:22" ht="12.75">
      <c r="A14" s="49" t="s">
        <v>251</v>
      </c>
      <c r="B14" s="49" t="s">
        <v>251</v>
      </c>
      <c r="C14" s="19"/>
      <c r="D14" s="19"/>
      <c r="E14">
        <v>4</v>
      </c>
      <c r="F14"/>
      <c r="G14"/>
      <c r="H14"/>
      <c r="I14"/>
      <c r="J14"/>
      <c r="K14"/>
      <c r="L14"/>
      <c r="M14"/>
      <c r="N14"/>
      <c r="O14"/>
      <c r="P14"/>
      <c r="Q14"/>
      <c r="R14"/>
      <c r="S14"/>
      <c r="T14"/>
      <c r="U14"/>
      <c r="V14"/>
    </row>
    <row r="15" spans="1:22" ht="12.75">
      <c r="A15" s="49" t="s">
        <v>251</v>
      </c>
      <c r="B15" s="49" t="s">
        <v>251</v>
      </c>
      <c r="C15" s="19"/>
      <c r="D15" s="19"/>
      <c r="E15" s="52" t="s">
        <v>43</v>
      </c>
      <c r="F15"/>
      <c r="G15"/>
      <c r="H15"/>
      <c r="I15"/>
      <c r="J15"/>
      <c r="K15"/>
      <c r="L15"/>
      <c r="M15"/>
      <c r="N15"/>
      <c r="O15"/>
      <c r="P15"/>
      <c r="Q15"/>
      <c r="R15"/>
      <c r="S15"/>
      <c r="T15"/>
      <c r="U15"/>
      <c r="V15"/>
    </row>
    <row r="16" spans="1:22" ht="12.75">
      <c r="A16" s="46">
        <f>A8+216</f>
        <v>399.9087</v>
      </c>
      <c r="B16" s="17">
        <f>0.3048*546</f>
        <v>166.4208</v>
      </c>
      <c r="C16" s="19" t="s">
        <v>250</v>
      </c>
      <c r="D16" s="19" t="s">
        <v>241</v>
      </c>
      <c r="E16" s="53">
        <v>0.3125</v>
      </c>
      <c r="F16"/>
      <c r="G16"/>
      <c r="H16"/>
      <c r="I16"/>
      <c r="J16"/>
      <c r="K16"/>
      <c r="L16"/>
      <c r="M16"/>
      <c r="N16"/>
      <c r="O16"/>
      <c r="P16"/>
      <c r="Q16"/>
      <c r="R16"/>
      <c r="S16"/>
      <c r="T16"/>
      <c r="U16"/>
      <c r="V16"/>
    </row>
    <row r="17" spans="1:22" ht="12.75">
      <c r="A17" s="46">
        <f>A8+269</f>
        <v>452.9087</v>
      </c>
      <c r="B17" s="17">
        <f>0.3048*1688</f>
        <v>514.5024000000001</v>
      </c>
      <c r="C17" s="19" t="s">
        <v>252</v>
      </c>
      <c r="D17" s="47"/>
      <c r="E17" s="53">
        <v>0.3659722222222222</v>
      </c>
      <c r="F17"/>
      <c r="G17"/>
      <c r="H17"/>
      <c r="I17"/>
      <c r="J17"/>
      <c r="K17"/>
      <c r="L17"/>
      <c r="M17"/>
      <c r="N17"/>
      <c r="O17"/>
      <c r="P17"/>
      <c r="Q17"/>
      <c r="R17"/>
      <c r="S17"/>
      <c r="T17"/>
      <c r="U17"/>
      <c r="V17"/>
    </row>
    <row r="18" spans="1:22" ht="12.75">
      <c r="A18" s="46">
        <f>A8+306</f>
        <v>489.9087</v>
      </c>
      <c r="B18" s="17">
        <f>0.3048*2127</f>
        <v>648.3096</v>
      </c>
      <c r="C18" t="s">
        <v>253</v>
      </c>
      <c r="D18" s="47"/>
      <c r="E18" s="53">
        <v>0.4048611111111111</v>
      </c>
      <c r="F18"/>
      <c r="G18"/>
      <c r="H18"/>
      <c r="I18"/>
      <c r="J18"/>
      <c r="K18"/>
      <c r="L18"/>
      <c r="M18"/>
      <c r="N18"/>
      <c r="O18"/>
      <c r="P18"/>
      <c r="Q18"/>
      <c r="R18"/>
      <c r="S18"/>
      <c r="T18"/>
      <c r="U18"/>
      <c r="V18"/>
    </row>
    <row r="19" spans="1:22" ht="12.75">
      <c r="A19" s="46">
        <f>A8+330</f>
        <v>513.9087</v>
      </c>
      <c r="B19" s="17">
        <f>0.3048*2212</f>
        <v>674.2176000000001</v>
      </c>
      <c r="C19" t="s">
        <v>254</v>
      </c>
      <c r="D19" s="47"/>
      <c r="E19" s="53">
        <v>0.42569444444444443</v>
      </c>
      <c r="F19"/>
      <c r="G19"/>
      <c r="H19"/>
      <c r="I19"/>
      <c r="J19"/>
      <c r="K19"/>
      <c r="L19"/>
      <c r="M19"/>
      <c r="N19"/>
      <c r="O19"/>
      <c r="P19"/>
      <c r="Q19"/>
      <c r="R19"/>
      <c r="S19"/>
      <c r="T19"/>
      <c r="U19"/>
      <c r="V19"/>
    </row>
    <row r="20" spans="1:22" ht="12.75">
      <c r="A20" s="46">
        <f>A8+376</f>
        <v>559.9087</v>
      </c>
      <c r="B20" s="17">
        <f>0.3048*1732</f>
        <v>527.9136</v>
      </c>
      <c r="C20" s="39" t="s">
        <v>255</v>
      </c>
      <c r="D20" s="47"/>
      <c r="E20" s="53">
        <v>0.46458333333333335</v>
      </c>
      <c r="F20"/>
      <c r="G20"/>
      <c r="H20"/>
      <c r="I20"/>
      <c r="J20"/>
      <c r="K20"/>
      <c r="L20"/>
      <c r="M20"/>
      <c r="N20"/>
      <c r="O20"/>
      <c r="P20"/>
      <c r="Q20"/>
      <c r="R20"/>
      <c r="S20"/>
      <c r="T20"/>
      <c r="U20"/>
      <c r="V20"/>
    </row>
    <row r="21" spans="1:22" ht="12.75">
      <c r="A21" s="46">
        <f>A8+393</f>
        <v>576.9087</v>
      </c>
      <c r="B21" s="17">
        <f>0.3048*1368</f>
        <v>416.9664</v>
      </c>
      <c r="C21" s="19" t="s">
        <v>256</v>
      </c>
      <c r="D21" s="19" t="s">
        <v>246</v>
      </c>
      <c r="E21" s="53">
        <v>0.4895833333333333</v>
      </c>
      <c r="F21"/>
      <c r="G21"/>
      <c r="H21"/>
      <c r="I21"/>
      <c r="J21"/>
      <c r="K21"/>
      <c r="L21"/>
      <c r="M21"/>
      <c r="N21"/>
      <c r="O21"/>
      <c r="P21"/>
      <c r="Q21"/>
      <c r="R21"/>
      <c r="S21"/>
      <c r="T21"/>
      <c r="U21"/>
      <c r="V21"/>
    </row>
    <row r="22" spans="1:22" ht="12.75">
      <c r="A22" s="46">
        <f>A8+393</f>
        <v>576.9087</v>
      </c>
      <c r="B22" s="17">
        <f>0.3048*1368</f>
        <v>416.9664</v>
      </c>
      <c r="C22" s="19" t="s">
        <v>256</v>
      </c>
      <c r="D22" s="19" t="s">
        <v>241</v>
      </c>
      <c r="E22" s="53">
        <v>0.5104166666666666</v>
      </c>
      <c r="F22"/>
      <c r="G22"/>
      <c r="H22"/>
      <c r="I22"/>
      <c r="J22"/>
      <c r="K22"/>
      <c r="L22"/>
      <c r="M22"/>
      <c r="N22"/>
      <c r="O22"/>
      <c r="P22"/>
      <c r="Q22"/>
      <c r="R22"/>
      <c r="S22"/>
      <c r="T22"/>
      <c r="U22"/>
      <c r="V22"/>
    </row>
    <row r="23" spans="1:22" ht="12.75">
      <c r="A23" s="46">
        <f>A8+479</f>
        <v>662.9087</v>
      </c>
      <c r="B23" s="17">
        <f>0.3048*362</f>
        <v>110.33760000000001</v>
      </c>
      <c r="C23" s="19" t="s">
        <v>257</v>
      </c>
      <c r="D23" s="47"/>
      <c r="E23" s="53">
        <v>0.5875</v>
      </c>
      <c r="F23"/>
      <c r="G23"/>
      <c r="H23"/>
      <c r="I23"/>
      <c r="J23"/>
      <c r="K23"/>
      <c r="L23"/>
      <c r="M23"/>
      <c r="N23"/>
      <c r="O23"/>
      <c r="P23"/>
      <c r="Q23"/>
      <c r="R23"/>
      <c r="S23"/>
      <c r="T23"/>
      <c r="U23"/>
      <c r="V23"/>
    </row>
    <row r="24" spans="1:22" ht="12.75">
      <c r="A24" s="46">
        <f>A8+573</f>
        <v>756.9087</v>
      </c>
      <c r="B24" s="17">
        <f>0.3048*448</f>
        <v>136.5504</v>
      </c>
      <c r="C24" s="19" t="s">
        <v>258</v>
      </c>
      <c r="D24" s="19" t="s">
        <v>246</v>
      </c>
      <c r="E24" s="53">
        <v>0.6770833333333334</v>
      </c>
      <c r="F24"/>
      <c r="G24"/>
      <c r="H24"/>
      <c r="I24"/>
      <c r="J24"/>
      <c r="K24"/>
      <c r="L24"/>
      <c r="M24"/>
      <c r="N24"/>
      <c r="O24"/>
      <c r="P24"/>
      <c r="Q24"/>
      <c r="R24"/>
      <c r="S24"/>
      <c r="T24"/>
      <c r="U24"/>
      <c r="V24"/>
    </row>
    <row r="25" spans="2:22" ht="12.75">
      <c r="B25"/>
      <c r="C25" t="s">
        <v>259</v>
      </c>
      <c r="D25" s="19"/>
      <c r="E25"/>
      <c r="F25"/>
      <c r="G25"/>
      <c r="H25"/>
      <c r="I25"/>
      <c r="J25"/>
      <c r="K25"/>
      <c r="L25"/>
      <c r="M25"/>
      <c r="N25"/>
      <c r="O25"/>
      <c r="P25"/>
      <c r="Q25"/>
      <c r="R25"/>
      <c r="S25"/>
      <c r="T25"/>
      <c r="U25"/>
      <c r="V25"/>
    </row>
    <row r="26" spans="1:22" ht="12.75">
      <c r="A26"/>
      <c r="B26"/>
      <c r="C26" t="s">
        <v>260</v>
      </c>
      <c r="D26"/>
      <c r="E26"/>
      <c r="F26"/>
      <c r="G26"/>
      <c r="H26"/>
      <c r="I26"/>
      <c r="J26"/>
      <c r="K26"/>
      <c r="L26"/>
      <c r="M26"/>
      <c r="N26"/>
      <c r="O26"/>
      <c r="P26"/>
      <c r="Q26"/>
      <c r="R26"/>
      <c r="S26"/>
      <c r="T26"/>
      <c r="U26"/>
      <c r="V26"/>
    </row>
    <row r="27" spans="2:22" ht="12.75">
      <c r="B27"/>
      <c r="C27" s="19" t="s">
        <v>261</v>
      </c>
      <c r="D27" s="19"/>
      <c r="E27"/>
      <c r="F27"/>
      <c r="G27"/>
      <c r="H27"/>
      <c r="I27"/>
      <c r="J27"/>
      <c r="K27"/>
      <c r="L27"/>
      <c r="M27"/>
      <c r="N27"/>
      <c r="O27"/>
      <c r="P27"/>
      <c r="Q27"/>
      <c r="R27"/>
      <c r="S27"/>
      <c r="T27"/>
      <c r="U27"/>
      <c r="V27"/>
    </row>
    <row r="28" spans="1:22" ht="12.75">
      <c r="A28"/>
      <c r="B28"/>
      <c r="C28" s="19" t="s">
        <v>262</v>
      </c>
      <c r="D28"/>
      <c r="E28"/>
      <c r="F28"/>
      <c r="G28"/>
      <c r="H28"/>
      <c r="I28"/>
      <c r="J28"/>
      <c r="K28"/>
      <c r="L28"/>
      <c r="M28"/>
      <c r="N28"/>
      <c r="O28"/>
      <c r="P28"/>
      <c r="Q28"/>
      <c r="R28"/>
      <c r="S28"/>
      <c r="T28"/>
      <c r="U28"/>
      <c r="V28"/>
    </row>
    <row r="29" spans="1:22" ht="12.75">
      <c r="A29"/>
      <c r="B29"/>
      <c r="C29"/>
      <c r="D29"/>
      <c r="E29"/>
      <c r="F29"/>
      <c r="G29"/>
      <c r="H29"/>
      <c r="I29"/>
      <c r="J29"/>
      <c r="K29"/>
      <c r="L29"/>
      <c r="M29"/>
      <c r="N29"/>
      <c r="O29"/>
      <c r="P29"/>
      <c r="Q29"/>
      <c r="R29"/>
      <c r="S29"/>
      <c r="T29"/>
      <c r="U29"/>
      <c r="V29"/>
    </row>
    <row r="30" spans="1:19" ht="12.75">
      <c r="A30" s="50" t="s">
        <v>2</v>
      </c>
      <c r="B30" s="36" t="s">
        <v>222</v>
      </c>
      <c r="C30" s="42" t="s">
        <v>237</v>
      </c>
      <c r="D30" s="19"/>
      <c r="E30" s="41" t="s">
        <v>31</v>
      </c>
      <c r="F30"/>
      <c r="G30"/>
      <c r="H30"/>
      <c r="I30"/>
      <c r="J30"/>
      <c r="K30"/>
      <c r="L30"/>
      <c r="M30"/>
      <c r="N30"/>
      <c r="O30"/>
      <c r="P30"/>
      <c r="Q30"/>
      <c r="R30"/>
      <c r="S30"/>
    </row>
    <row r="31" spans="2:19" ht="12.75">
      <c r="B31"/>
      <c r="C31" s="35"/>
      <c r="D31" s="19"/>
      <c r="E31">
        <v>3</v>
      </c>
      <c r="F31"/>
      <c r="G31"/>
      <c r="H31"/>
      <c r="I31"/>
      <c r="J31"/>
      <c r="K31"/>
      <c r="L31"/>
      <c r="M31"/>
      <c r="N31"/>
      <c r="O31"/>
      <c r="P31"/>
      <c r="Q31"/>
      <c r="R31"/>
      <c r="S31"/>
    </row>
    <row r="32" spans="2:19" ht="12.75">
      <c r="B32"/>
      <c r="C32" s="19"/>
      <c r="D32" s="19"/>
      <c r="E32" s="36" t="s">
        <v>32</v>
      </c>
      <c r="F32"/>
      <c r="G32"/>
      <c r="H32"/>
      <c r="I32"/>
      <c r="J32"/>
      <c r="K32"/>
      <c r="L32"/>
      <c r="M32"/>
      <c r="N32"/>
      <c r="O32"/>
      <c r="P32"/>
      <c r="Q32"/>
      <c r="R32"/>
      <c r="S32"/>
    </row>
    <row r="33" spans="1:19" ht="12.75">
      <c r="A33" s="17">
        <f>A24-A24</f>
        <v>0</v>
      </c>
      <c r="B33" s="17">
        <f>B24-B24</f>
        <v>0</v>
      </c>
      <c r="C33" s="19" t="s">
        <v>258</v>
      </c>
      <c r="D33" s="19" t="s">
        <v>241</v>
      </c>
      <c r="E33" s="53">
        <v>0.3541666666666667</v>
      </c>
      <c r="F33"/>
      <c r="G33"/>
      <c r="H33"/>
      <c r="I33"/>
      <c r="J33"/>
      <c r="K33"/>
      <c r="L33"/>
      <c r="M33"/>
      <c r="N33"/>
      <c r="O33"/>
      <c r="P33"/>
      <c r="Q33"/>
      <c r="R33"/>
      <c r="S33"/>
    </row>
    <row r="34" spans="1:19" ht="12.75">
      <c r="A34" s="17">
        <f>A24-A23</f>
        <v>94</v>
      </c>
      <c r="B34" s="17">
        <f>B23</f>
        <v>110.33760000000001</v>
      </c>
      <c r="C34" s="19" t="s">
        <v>257</v>
      </c>
      <c r="D34" s="47"/>
      <c r="E34" s="53">
        <v>0.44375</v>
      </c>
      <c r="F34"/>
      <c r="G34"/>
      <c r="H34"/>
      <c r="I34"/>
      <c r="J34"/>
      <c r="K34"/>
      <c r="L34"/>
      <c r="M34"/>
      <c r="N34"/>
      <c r="O34"/>
      <c r="P34"/>
      <c r="Q34"/>
      <c r="R34"/>
      <c r="S34"/>
    </row>
    <row r="35" spans="1:19" ht="12.75">
      <c r="A35" s="17">
        <f>A24-A22</f>
        <v>180</v>
      </c>
      <c r="B35" s="17">
        <f>B22</f>
        <v>416.9664</v>
      </c>
      <c r="C35" s="19" t="s">
        <v>256</v>
      </c>
      <c r="D35" s="19" t="s">
        <v>246</v>
      </c>
      <c r="E35" s="53">
        <v>0.5208333333333334</v>
      </c>
      <c r="F35"/>
      <c r="G35"/>
      <c r="H35"/>
      <c r="I35"/>
      <c r="J35"/>
      <c r="K35"/>
      <c r="L35"/>
      <c r="M35"/>
      <c r="N35"/>
      <c r="O35"/>
      <c r="P35"/>
      <c r="Q35"/>
      <c r="R35"/>
      <c r="S35"/>
    </row>
    <row r="36" spans="1:19" ht="12.75">
      <c r="A36" s="17">
        <f>A24-A21</f>
        <v>180</v>
      </c>
      <c r="B36" s="17">
        <f>B21</f>
        <v>416.9664</v>
      </c>
      <c r="C36" s="19" t="s">
        <v>256</v>
      </c>
      <c r="D36" s="19" t="s">
        <v>241</v>
      </c>
      <c r="E36" s="53">
        <v>0.5416666666666666</v>
      </c>
      <c r="F36"/>
      <c r="G36"/>
      <c r="H36"/>
      <c r="I36"/>
      <c r="J36"/>
      <c r="K36"/>
      <c r="L36"/>
      <c r="M36"/>
      <c r="N36"/>
      <c r="O36"/>
      <c r="P36"/>
      <c r="Q36"/>
      <c r="R36"/>
      <c r="S36"/>
    </row>
    <row r="37" spans="1:19" ht="12.75">
      <c r="A37" s="17">
        <f>A24-A20</f>
        <v>197</v>
      </c>
      <c r="B37" s="17">
        <f>B20</f>
        <v>527.9136</v>
      </c>
      <c r="C37" s="39" t="s">
        <v>255</v>
      </c>
      <c r="D37" s="47"/>
      <c r="E37" s="53">
        <v>0.5666666666666667</v>
      </c>
      <c r="F37"/>
      <c r="G37"/>
      <c r="H37"/>
      <c r="I37"/>
      <c r="J37"/>
      <c r="K37"/>
      <c r="L37"/>
      <c r="M37"/>
      <c r="N37"/>
      <c r="O37"/>
      <c r="P37"/>
      <c r="Q37"/>
      <c r="R37"/>
      <c r="S37"/>
    </row>
    <row r="38" spans="1:19" ht="12.75">
      <c r="A38" s="17">
        <f>A24-A19</f>
        <v>243</v>
      </c>
      <c r="B38" s="17">
        <f>B19</f>
        <v>674.2176000000001</v>
      </c>
      <c r="C38" t="s">
        <v>254</v>
      </c>
      <c r="D38" s="47"/>
      <c r="E38" s="53">
        <v>0.6097222222222223</v>
      </c>
      <c r="F38"/>
      <c r="G38"/>
      <c r="H38"/>
      <c r="I38"/>
      <c r="J38"/>
      <c r="K38"/>
      <c r="L38"/>
      <c r="M38"/>
      <c r="N38"/>
      <c r="O38"/>
      <c r="P38"/>
      <c r="Q38"/>
      <c r="R38"/>
      <c r="S38"/>
    </row>
    <row r="39" spans="1:19" ht="12.75">
      <c r="A39" s="17">
        <f>A24-A18</f>
        <v>266.99999999999994</v>
      </c>
      <c r="B39" s="17">
        <f>B18</f>
        <v>648.3096</v>
      </c>
      <c r="C39" t="s">
        <v>253</v>
      </c>
      <c r="D39" s="47"/>
      <c r="E39" s="53">
        <v>0.63125</v>
      </c>
      <c r="F39"/>
      <c r="G39"/>
      <c r="H39"/>
      <c r="I39"/>
      <c r="J39"/>
      <c r="K39"/>
      <c r="L39"/>
      <c r="M39"/>
      <c r="N39"/>
      <c r="O39"/>
      <c r="P39"/>
      <c r="Q39"/>
      <c r="R39"/>
      <c r="S39"/>
    </row>
    <row r="40" spans="1:19" ht="12.75">
      <c r="A40" s="17">
        <f>A24-A17</f>
        <v>303.99999999999994</v>
      </c>
      <c r="B40" s="17">
        <f>B17</f>
        <v>514.5024000000001</v>
      </c>
      <c r="C40" s="19" t="s">
        <v>252</v>
      </c>
      <c r="D40" s="47"/>
      <c r="E40" s="53">
        <v>0.6659722222222222</v>
      </c>
      <c r="F40"/>
      <c r="G40"/>
      <c r="H40"/>
      <c r="I40"/>
      <c r="J40"/>
      <c r="K40"/>
      <c r="L40"/>
      <c r="M40"/>
      <c r="N40"/>
      <c r="O40"/>
      <c r="P40"/>
      <c r="Q40"/>
      <c r="R40"/>
      <c r="S40"/>
    </row>
    <row r="41" spans="1:19" ht="12.75">
      <c r="A41" s="51">
        <f>A24-A16</f>
        <v>356.99999999999994</v>
      </c>
      <c r="B41" s="51">
        <f>B16</f>
        <v>166.4208</v>
      </c>
      <c r="C41" s="19" t="s">
        <v>250</v>
      </c>
      <c r="D41" s="19" t="s">
        <v>246</v>
      </c>
      <c r="E41" s="53">
        <v>0.71875</v>
      </c>
      <c r="F41"/>
      <c r="G41"/>
      <c r="H41"/>
      <c r="I41"/>
      <c r="J41"/>
      <c r="K41"/>
      <c r="L41"/>
      <c r="M41"/>
      <c r="N41"/>
      <c r="O41"/>
      <c r="P41"/>
      <c r="Q41"/>
      <c r="R41"/>
      <c r="S41"/>
    </row>
    <row r="42" spans="1:19" ht="12.75">
      <c r="A42" s="49" t="s">
        <v>251</v>
      </c>
      <c r="B42" s="49" t="s">
        <v>251</v>
      </c>
      <c r="C42" s="19"/>
      <c r="D42" s="19"/>
      <c r="E42" s="16">
        <v>1</v>
      </c>
      <c r="F42"/>
      <c r="G42"/>
      <c r="H42"/>
      <c r="I42"/>
      <c r="J42"/>
      <c r="K42"/>
      <c r="L42"/>
      <c r="M42"/>
      <c r="N42"/>
      <c r="O42"/>
      <c r="P42"/>
      <c r="Q42"/>
      <c r="R42"/>
      <c r="S42"/>
    </row>
    <row r="43" spans="1:19" ht="12.75">
      <c r="A43" s="49" t="s">
        <v>251</v>
      </c>
      <c r="B43" s="49" t="s">
        <v>251</v>
      </c>
      <c r="C43" s="19"/>
      <c r="D43" s="19"/>
      <c r="E43" s="36" t="s">
        <v>36</v>
      </c>
      <c r="F43"/>
      <c r="G43"/>
      <c r="H43"/>
      <c r="I43"/>
      <c r="J43"/>
      <c r="K43"/>
      <c r="L43"/>
      <c r="M43"/>
      <c r="N43"/>
      <c r="O43"/>
      <c r="P43"/>
      <c r="Q43"/>
      <c r="R43"/>
      <c r="S43"/>
    </row>
    <row r="44" spans="1:19" ht="12.75">
      <c r="A44" s="17">
        <f>A24-A13</f>
        <v>356.99999999999994</v>
      </c>
      <c r="B44" s="17">
        <f>B13</f>
        <v>166.4208</v>
      </c>
      <c r="C44" s="19" t="s">
        <v>250</v>
      </c>
      <c r="D44" s="19" t="s">
        <v>241</v>
      </c>
      <c r="E44" s="53">
        <v>0.3125</v>
      </c>
      <c r="F44"/>
      <c r="G44"/>
      <c r="H44"/>
      <c r="I44"/>
      <c r="J44"/>
      <c r="K44"/>
      <c r="L44"/>
      <c r="M44"/>
      <c r="N44"/>
      <c r="O44"/>
      <c r="P44"/>
      <c r="Q44"/>
      <c r="R44"/>
      <c r="S44"/>
    </row>
    <row r="45" spans="1:19" ht="12.75">
      <c r="A45" s="17">
        <f>A24-A12</f>
        <v>391.99999999999994</v>
      </c>
      <c r="B45" s="17">
        <f>B12</f>
        <v>107.89920000000001</v>
      </c>
      <c r="C45" s="19" t="s">
        <v>249</v>
      </c>
      <c r="D45" s="19"/>
      <c r="E45" s="53">
        <v>0.3451388888888889</v>
      </c>
      <c r="F45"/>
      <c r="G45"/>
      <c r="H45"/>
      <c r="I45"/>
      <c r="J45"/>
      <c r="K45"/>
      <c r="L45"/>
      <c r="M45"/>
      <c r="N45"/>
      <c r="O45"/>
      <c r="P45"/>
      <c r="Q45"/>
      <c r="R45"/>
      <c r="S45"/>
    </row>
    <row r="46" spans="1:19" ht="12.75">
      <c r="A46" s="17">
        <f>A24-A11</f>
        <v>499.99999999999994</v>
      </c>
      <c r="B46" s="17">
        <f>B11</f>
        <v>103.3272</v>
      </c>
      <c r="C46" s="19" t="s">
        <v>248</v>
      </c>
      <c r="D46" s="47"/>
      <c r="E46" s="53">
        <v>0.4354166666666667</v>
      </c>
      <c r="F46"/>
      <c r="G46"/>
      <c r="H46"/>
      <c r="I46"/>
      <c r="J46"/>
      <c r="K46"/>
      <c r="L46"/>
      <c r="M46"/>
      <c r="N46"/>
      <c r="O46"/>
      <c r="P46"/>
      <c r="Q46"/>
      <c r="R46"/>
      <c r="S46"/>
    </row>
    <row r="47" spans="1:19" ht="12.75">
      <c r="A47" s="17">
        <f>A24-A10</f>
        <v>514</v>
      </c>
      <c r="B47" s="17">
        <f>B10</f>
        <v>10.972800000000001</v>
      </c>
      <c r="C47" s="19" t="s">
        <v>247</v>
      </c>
      <c r="D47" s="47"/>
      <c r="E47" s="53">
        <v>0.45</v>
      </c>
      <c r="F47"/>
      <c r="G47"/>
      <c r="H47"/>
      <c r="I47"/>
      <c r="J47"/>
      <c r="K47"/>
      <c r="L47"/>
      <c r="M47"/>
      <c r="N47"/>
      <c r="O47"/>
      <c r="P47"/>
      <c r="Q47"/>
      <c r="R47"/>
      <c r="S47"/>
    </row>
    <row r="48" spans="1:19" ht="12.75">
      <c r="A48" s="17">
        <f>A24-A9</f>
        <v>573</v>
      </c>
      <c r="B48" s="17">
        <f>B9</f>
        <v>11.5824</v>
      </c>
      <c r="C48" s="19" t="s">
        <v>245</v>
      </c>
      <c r="D48" s="19" t="s">
        <v>246</v>
      </c>
      <c r="E48" s="53">
        <v>0.5104166666666666</v>
      </c>
      <c r="F48"/>
      <c r="G48"/>
      <c r="H48"/>
      <c r="I48"/>
      <c r="J48"/>
      <c r="K48"/>
      <c r="L48"/>
      <c r="M48"/>
      <c r="N48"/>
      <c r="O48"/>
      <c r="P48"/>
      <c r="Q48"/>
      <c r="R48"/>
      <c r="S48"/>
    </row>
    <row r="49" spans="1:255" ht="12.75">
      <c r="A49" s="32">
        <f>A24-A8</f>
        <v>573</v>
      </c>
      <c r="B49" s="17">
        <f>0.3048*38</f>
        <v>11.5824</v>
      </c>
      <c r="C49" s="19" t="s">
        <v>245</v>
      </c>
      <c r="D49" s="19" t="s">
        <v>241</v>
      </c>
      <c r="E49" s="53">
        <v>0.5520833333333334</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12.75">
      <c r="A50" s="32">
        <f>A24-A7</f>
        <v>637.0382</v>
      </c>
      <c r="B50" s="17">
        <f>0.3048*40</f>
        <v>12.192</v>
      </c>
      <c r="C50" s="19" t="s">
        <v>244</v>
      </c>
      <c r="D50" s="19"/>
      <c r="E50" s="53">
        <v>0.6097222222222223</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12.75">
      <c r="A51" s="32">
        <f>A24-A6</f>
        <v>674.8497</v>
      </c>
      <c r="B51" s="17">
        <f>B6</f>
        <v>149.6568</v>
      </c>
      <c r="C51" s="19" t="s">
        <v>243</v>
      </c>
      <c r="D51" s="19"/>
      <c r="E51" s="53">
        <v>0.6527777777777778</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ht="12.75">
      <c r="A52" s="32">
        <f>A24-A5</f>
        <v>719.419</v>
      </c>
      <c r="B52" s="17">
        <f>B5</f>
        <v>137.7696</v>
      </c>
      <c r="C52" s="19" t="s">
        <v>242</v>
      </c>
      <c r="D52" s="19"/>
      <c r="E52" s="53">
        <v>0.7069444444444445</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s="32">
        <f>A24-A4</f>
        <v>756.9087</v>
      </c>
      <c r="B53" s="17">
        <f>0.3048*20</f>
        <v>6.096</v>
      </c>
      <c r="C53" s="19" t="s">
        <v>219</v>
      </c>
      <c r="D53" s="19" t="s">
        <v>246</v>
      </c>
      <c r="E53" s="53">
        <v>0.75</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2.75">
      <c r="A54"/>
      <c r="B54"/>
      <c r="C54" t="s">
        <v>259</v>
      </c>
      <c r="D54"/>
      <c r="E54" s="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ht="12.75">
      <c r="A55"/>
      <c r="B55"/>
      <c r="C55" t="s">
        <v>260</v>
      </c>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19" ht="12.75">
      <c r="A56"/>
      <c r="B56"/>
      <c r="C56" s="19" t="s">
        <v>261</v>
      </c>
      <c r="D56" s="19"/>
      <c r="E56"/>
      <c r="F56"/>
      <c r="G56"/>
      <c r="H56"/>
      <c r="I56"/>
      <c r="J56"/>
      <c r="K56"/>
      <c r="L56"/>
      <c r="M56"/>
      <c r="N56"/>
      <c r="O56"/>
      <c r="P56"/>
      <c r="Q56"/>
      <c r="R56"/>
      <c r="S56"/>
    </row>
    <row r="57" spans="1:19" ht="12.75">
      <c r="A57"/>
      <c r="B57"/>
      <c r="C57" s="19" t="s">
        <v>262</v>
      </c>
      <c r="D57"/>
      <c r="E57"/>
      <c r="F57"/>
      <c r="G57"/>
      <c r="H57"/>
      <c r="I57"/>
      <c r="J57"/>
      <c r="K57"/>
      <c r="L57"/>
      <c r="M57"/>
      <c r="N57"/>
      <c r="O57"/>
      <c r="P57"/>
      <c r="Q57"/>
      <c r="R57"/>
      <c r="S57"/>
    </row>
    <row r="58" spans="6:19" ht="12.75">
      <c r="F58"/>
      <c r="G58"/>
      <c r="H58"/>
      <c r="I58"/>
      <c r="J58"/>
      <c r="K58"/>
      <c r="L58"/>
      <c r="M58"/>
      <c r="N58"/>
      <c r="O58"/>
      <c r="P58"/>
      <c r="Q58"/>
      <c r="R58"/>
      <c r="S58"/>
    </row>
    <row r="60" spans="1:5" ht="12.75">
      <c r="A60" s="3" t="s">
        <v>265</v>
      </c>
      <c r="B60"/>
      <c r="C60" s="35" t="s">
        <v>221</v>
      </c>
      <c r="D60"/>
      <c r="E60" s="36"/>
    </row>
    <row r="61" spans="1:5" ht="12.75">
      <c r="A61" s="36" t="s">
        <v>2</v>
      </c>
      <c r="B61" s="36" t="s">
        <v>222</v>
      </c>
      <c r="C61" s="35" t="s">
        <v>223</v>
      </c>
      <c r="D61"/>
      <c r="E61"/>
    </row>
    <row r="62" spans="1:5" ht="12.75">
      <c r="A62"/>
      <c r="B62"/>
      <c r="C62" s="35" t="s">
        <v>266</v>
      </c>
      <c r="D62"/>
      <c r="E62" s="38"/>
    </row>
    <row r="63" spans="1:5" ht="12.75">
      <c r="A63" s="18">
        <v>0</v>
      </c>
      <c r="B63" s="18">
        <v>0</v>
      </c>
      <c r="C63" t="s">
        <v>225</v>
      </c>
      <c r="D63" t="s">
        <v>241</v>
      </c>
      <c r="E63" t="s">
        <v>263</v>
      </c>
    </row>
    <row r="64" spans="1:5" ht="12.75">
      <c r="A64" s="18">
        <v>2.73</v>
      </c>
      <c r="B64" s="18">
        <v>0</v>
      </c>
      <c r="C64" t="s">
        <v>227</v>
      </c>
      <c r="D64"/>
      <c r="E64" s="39"/>
    </row>
    <row r="65" spans="1:5" ht="12.75">
      <c r="A65" s="18">
        <v>31.83</v>
      </c>
      <c r="B65" s="18">
        <f>0.3048*2885</f>
        <v>879.3480000000001</v>
      </c>
      <c r="C65" t="s">
        <v>228</v>
      </c>
      <c r="D65"/>
      <c r="E65" s="40"/>
    </row>
    <row r="66" spans="1:5" ht="12.75">
      <c r="A66" s="18">
        <v>52.13</v>
      </c>
      <c r="B66" s="18">
        <f>0.3048*2916</f>
        <v>888.7968000000001</v>
      </c>
      <c r="C66" t="s">
        <v>229</v>
      </c>
      <c r="D66"/>
      <c r="E66" s="40"/>
    </row>
    <row r="67" spans="1:5" ht="12.75">
      <c r="A67" s="18">
        <v>64.33</v>
      </c>
      <c r="B67" s="18">
        <f>0.3048*2158</f>
        <v>657.7584</v>
      </c>
      <c r="C67" t="s">
        <v>230</v>
      </c>
      <c r="D67"/>
      <c r="E67" s="37"/>
    </row>
    <row r="68" spans="1:5" ht="12.75">
      <c r="A68" s="18">
        <v>107.63</v>
      </c>
      <c r="B68" s="18">
        <f>0.3048*2164</f>
        <v>659.5872</v>
      </c>
      <c r="C68" t="s">
        <v>116</v>
      </c>
      <c r="D68"/>
      <c r="E68" s="40"/>
    </row>
    <row r="69" spans="1:5" ht="12.75">
      <c r="A69" s="18">
        <v>176.83</v>
      </c>
      <c r="B69" s="18">
        <f>0.3048*2079</f>
        <v>633.6792</v>
      </c>
      <c r="C69" t="s">
        <v>231</v>
      </c>
      <c r="D69" t="s">
        <v>246</v>
      </c>
      <c r="E69" s="40"/>
    </row>
    <row r="70" spans="1:5" ht="12.75">
      <c r="A70"/>
      <c r="B70"/>
      <c r="C70" t="s">
        <v>232</v>
      </c>
      <c r="D70"/>
      <c r="E70"/>
    </row>
    <row r="71" spans="1:5" ht="12.75">
      <c r="A71"/>
      <c r="B71"/>
      <c r="C71" t="s">
        <v>233</v>
      </c>
      <c r="D71"/>
      <c r="E71"/>
    </row>
    <row r="72" spans="1:5" ht="12.75">
      <c r="A72"/>
      <c r="B72"/>
      <c r="C72" t="s">
        <v>234</v>
      </c>
      <c r="D72"/>
      <c r="E72"/>
    </row>
    <row r="73" spans="1:5" ht="12.75">
      <c r="A73"/>
      <c r="B73"/>
      <c r="C73" t="s">
        <v>235</v>
      </c>
      <c r="D73"/>
      <c r="E73"/>
    </row>
    <row r="74" spans="1:5" ht="12.75">
      <c r="A74"/>
      <c r="B74"/>
      <c r="C74" t="s">
        <v>236</v>
      </c>
      <c r="D74"/>
      <c r="E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5" ht="12.75">
      <c r="A76"/>
      <c r="B76"/>
      <c r="C76" s="35" t="s">
        <v>221</v>
      </c>
      <c r="D76"/>
      <c r="E76" s="36"/>
    </row>
    <row r="77" spans="1:5" ht="12.75">
      <c r="A77"/>
      <c r="B77"/>
      <c r="C77" s="35"/>
      <c r="D77"/>
      <c r="E77" s="36"/>
    </row>
    <row r="78" spans="1:5" ht="12.75">
      <c r="A78" s="36" t="s">
        <v>2</v>
      </c>
      <c r="B78" s="36" t="s">
        <v>222</v>
      </c>
      <c r="C78" s="35" t="s">
        <v>237</v>
      </c>
      <c r="D78"/>
      <c r="E78"/>
    </row>
    <row r="79" spans="1:5" ht="12.75">
      <c r="A79"/>
      <c r="B79"/>
      <c r="C79" s="35" t="s">
        <v>266</v>
      </c>
      <c r="D79"/>
      <c r="E79" s="38"/>
    </row>
    <row r="80" spans="1:5" ht="12.75">
      <c r="A80" s="18">
        <f>A69-A69</f>
        <v>0</v>
      </c>
      <c r="B80" s="18">
        <f>0.3048*2079</f>
        <v>633.6792</v>
      </c>
      <c r="C80" t="s">
        <v>231</v>
      </c>
      <c r="D80" t="s">
        <v>241</v>
      </c>
      <c r="E80" t="s">
        <v>264</v>
      </c>
    </row>
    <row r="81" spans="1:5" ht="12.75">
      <c r="A81" s="34">
        <f>A69-A68</f>
        <v>69.20000000000002</v>
      </c>
      <c r="B81" s="18">
        <f>0.3048*2164</f>
        <v>659.5872</v>
      </c>
      <c r="C81" t="s">
        <v>116</v>
      </c>
      <c r="D81"/>
      <c r="E81" s="40"/>
    </row>
    <row r="82" spans="1:5" ht="12.75">
      <c r="A82" s="34">
        <f>A69-A67</f>
        <v>112.50000000000001</v>
      </c>
      <c r="B82" s="18">
        <f>0.3048*2158</f>
        <v>657.7584</v>
      </c>
      <c r="C82" t="s">
        <v>230</v>
      </c>
      <c r="D82"/>
      <c r="E82" s="40"/>
    </row>
    <row r="83" spans="1:5" ht="12.75">
      <c r="A83" s="34">
        <f>A69-A66</f>
        <v>124.70000000000002</v>
      </c>
      <c r="B83" s="18">
        <f>0.3048*2916</f>
        <v>888.7968000000001</v>
      </c>
      <c r="C83" t="s">
        <v>229</v>
      </c>
      <c r="D83"/>
      <c r="E83" s="40"/>
    </row>
    <row r="84" spans="1:5" ht="12.75">
      <c r="A84" s="34">
        <f>A69-A65</f>
        <v>145</v>
      </c>
      <c r="B84" s="18">
        <f>0.3048*2885</f>
        <v>879.3480000000001</v>
      </c>
      <c r="C84" t="s">
        <v>228</v>
      </c>
      <c r="D84"/>
      <c r="E84" s="40"/>
    </row>
    <row r="85" spans="1:5" ht="12.75">
      <c r="A85" s="34">
        <f>A69-A64</f>
        <v>174.10000000000002</v>
      </c>
      <c r="B85" s="18">
        <v>0</v>
      </c>
      <c r="C85" t="s">
        <v>227</v>
      </c>
      <c r="D85" t="s">
        <v>246</v>
      </c>
      <c r="E85" s="39"/>
    </row>
    <row r="86" spans="1:5" ht="12.75">
      <c r="A86" s="34">
        <f>A69-A63</f>
        <v>176.83</v>
      </c>
      <c r="B86" s="18">
        <v>0</v>
      </c>
      <c r="C86" t="s">
        <v>225</v>
      </c>
      <c r="D86" t="s">
        <v>246</v>
      </c>
      <c r="E86" s="40"/>
    </row>
    <row r="87" spans="1:5" ht="12.75">
      <c r="A87"/>
      <c r="B87"/>
      <c r="C87" t="s">
        <v>239</v>
      </c>
      <c r="D87"/>
      <c r="E87" s="12"/>
    </row>
    <row r="88" spans="1:5" ht="12.75">
      <c r="A88"/>
      <c r="B88"/>
      <c r="C88" t="s">
        <v>233</v>
      </c>
      <c r="D88"/>
      <c r="E88"/>
    </row>
    <row r="89" spans="1:5" ht="12.75">
      <c r="A89"/>
      <c r="B89"/>
      <c r="C89" t="s">
        <v>234</v>
      </c>
      <c r="D89"/>
      <c r="E89"/>
    </row>
    <row r="90" spans="1:5" ht="12.75">
      <c r="A90"/>
      <c r="B90"/>
      <c r="C90" t="s">
        <v>235</v>
      </c>
      <c r="D90"/>
      <c r="E90"/>
    </row>
    <row r="91" spans="1:5" ht="12.75">
      <c r="A91"/>
      <c r="B91"/>
      <c r="C91" t="s">
        <v>236</v>
      </c>
      <c r="D91"/>
      <c r="E91"/>
    </row>
    <row r="92" spans="1:5" ht="12.75">
      <c r="A92"/>
      <c r="B92"/>
      <c r="C92"/>
      <c r="D92"/>
      <c r="E92"/>
    </row>
    <row r="93" spans="1:255"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5" ht="12.75">
      <c r="A99"/>
      <c r="B99"/>
      <c r="C99"/>
      <c r="D99"/>
      <c r="E9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5.xml><?xml version="1.0" encoding="utf-8"?>
<worksheet xmlns="http://schemas.openxmlformats.org/spreadsheetml/2006/main" xmlns:r="http://schemas.openxmlformats.org/officeDocument/2006/relationships">
  <dimension ref="A1:F74"/>
  <sheetViews>
    <sheetView zoomScale="80" zoomScaleNormal="80" workbookViewId="0" topLeftCell="A1">
      <selection activeCell="A1" sqref="A1"/>
    </sheetView>
  </sheetViews>
  <sheetFormatPr defaultColWidth="12.57421875" defaultRowHeight="12.75"/>
  <cols>
    <col min="1" max="1" width="8.7109375" style="0" customWidth="1"/>
    <col min="2" max="2" width="7.421875" style="0" customWidth="1"/>
    <col min="3" max="3" width="17.57421875" style="0" customWidth="1"/>
    <col min="4" max="4" width="2.140625" style="0" customWidth="1"/>
    <col min="5" max="16384" width="11.57421875" style="0" customWidth="1"/>
  </cols>
  <sheetData>
    <row r="1" spans="1:4" ht="12.75">
      <c r="A1" s="3">
        <v>1947</v>
      </c>
      <c r="C1" s="3" t="s">
        <v>34</v>
      </c>
      <c r="D1" s="19"/>
    </row>
    <row r="2" spans="1:6" ht="12.75">
      <c r="A2" s="36" t="s">
        <v>2</v>
      </c>
      <c r="B2" s="36" t="s">
        <v>222</v>
      </c>
      <c r="C2" s="42" t="s">
        <v>223</v>
      </c>
      <c r="D2" s="19"/>
      <c r="E2">
        <v>2</v>
      </c>
      <c r="F2" s="55">
        <f>E2</f>
        <v>2</v>
      </c>
    </row>
    <row r="3" spans="3:6" ht="12.75">
      <c r="C3" s="35" t="s">
        <v>267</v>
      </c>
      <c r="D3" s="19"/>
      <c r="E3" s="52" t="s">
        <v>47</v>
      </c>
      <c r="F3" s="36" t="s">
        <v>36</v>
      </c>
    </row>
    <row r="4" spans="1:6" ht="12.75">
      <c r="A4" s="32">
        <v>0</v>
      </c>
      <c r="B4" s="44">
        <f>B35</f>
        <v>6.096</v>
      </c>
      <c r="C4" s="19" t="s">
        <v>219</v>
      </c>
      <c r="D4" s="19" t="s">
        <v>241</v>
      </c>
      <c r="E4" s="53">
        <v>0.3541666666666667</v>
      </c>
      <c r="F4" s="53">
        <f>E4</f>
        <v>0.3541666666666667</v>
      </c>
    </row>
    <row r="5" spans="1:6" ht="12.75">
      <c r="A5" s="32">
        <v>183.9087</v>
      </c>
      <c r="B5" s="17">
        <f>B34</f>
        <v>11.5824</v>
      </c>
      <c r="C5" s="19" t="s">
        <v>245</v>
      </c>
      <c r="D5" s="19" t="s">
        <v>246</v>
      </c>
      <c r="E5" s="53">
        <v>0.5416666666666666</v>
      </c>
      <c r="F5" s="53">
        <f>E5</f>
        <v>0.5416666666666666</v>
      </c>
    </row>
    <row r="6" spans="1:5" ht="12.75">
      <c r="A6" s="46">
        <f>A5+0</f>
        <v>183.9087</v>
      </c>
      <c r="B6" s="17">
        <f>0.3048*38</f>
        <v>11.5824</v>
      </c>
      <c r="C6" s="19" t="s">
        <v>245</v>
      </c>
      <c r="D6" s="19" t="s">
        <v>241</v>
      </c>
      <c r="E6" s="53">
        <v>0.6041666666666666</v>
      </c>
    </row>
    <row r="7" spans="1:5" ht="12.75">
      <c r="A7" s="46">
        <f>A5+216</f>
        <v>399.9087</v>
      </c>
      <c r="B7" s="17">
        <f>0.3048*546</f>
        <v>166.4208</v>
      </c>
      <c r="C7" s="19" t="s">
        <v>250</v>
      </c>
      <c r="D7" s="19" t="s">
        <v>246</v>
      </c>
      <c r="E7" s="53">
        <v>0.7916666666666666</v>
      </c>
    </row>
    <row r="8" spans="1:5" ht="12.75">
      <c r="A8" s="49" t="s">
        <v>251</v>
      </c>
      <c r="B8" s="49" t="s">
        <v>251</v>
      </c>
      <c r="C8" s="19"/>
      <c r="D8" s="19"/>
      <c r="E8">
        <v>4</v>
      </c>
    </row>
    <row r="9" spans="1:5" ht="12.75">
      <c r="A9" s="49" t="s">
        <v>251</v>
      </c>
      <c r="B9" s="49" t="s">
        <v>251</v>
      </c>
      <c r="C9" s="19"/>
      <c r="D9" s="19"/>
      <c r="E9" s="52" t="s">
        <v>39</v>
      </c>
    </row>
    <row r="10" spans="1:5" ht="12.75">
      <c r="A10" s="46">
        <f>A5+216</f>
        <v>399.9087</v>
      </c>
      <c r="B10" s="17">
        <f>0.3048*546</f>
        <v>166.4208</v>
      </c>
      <c r="C10" s="19" t="s">
        <v>250</v>
      </c>
      <c r="D10" s="19" t="s">
        <v>241</v>
      </c>
      <c r="E10" s="53">
        <v>0.3263888888888889</v>
      </c>
    </row>
    <row r="11" spans="1:5" ht="12.75">
      <c r="A11" s="46">
        <f>A5+376</f>
        <v>559.9087</v>
      </c>
      <c r="B11" s="17">
        <f>0.3048*1732</f>
        <v>527.9136</v>
      </c>
      <c r="C11" s="39" t="s">
        <v>255</v>
      </c>
      <c r="D11" s="47"/>
      <c r="E11" s="53">
        <v>0.4930555555555556</v>
      </c>
    </row>
    <row r="12" spans="1:5" ht="12.75">
      <c r="A12" s="46">
        <f>A5+393</f>
        <v>576.9087</v>
      </c>
      <c r="B12" s="17">
        <f>0.3048*1368</f>
        <v>416.9664</v>
      </c>
      <c r="C12" s="19" t="s">
        <v>256</v>
      </c>
      <c r="D12" s="19" t="s">
        <v>246</v>
      </c>
      <c r="E12" s="40">
        <v>0.5208333333333334</v>
      </c>
    </row>
    <row r="13" spans="1:5" ht="12.75">
      <c r="A13" s="46">
        <f>A5+393</f>
        <v>576.9087</v>
      </c>
      <c r="B13" s="17">
        <f>0.3048*1368</f>
        <v>416.9664</v>
      </c>
      <c r="C13" s="19" t="s">
        <v>256</v>
      </c>
      <c r="D13" s="19" t="s">
        <v>241</v>
      </c>
      <c r="E13" s="53">
        <v>0.5381944444444444</v>
      </c>
    </row>
    <row r="14" spans="1:5" ht="12.75">
      <c r="A14" s="46">
        <f>A5+479</f>
        <v>662.9087</v>
      </c>
      <c r="B14" s="17">
        <f>0.3048*362</f>
        <v>110.33760000000001</v>
      </c>
      <c r="C14" s="19" t="s">
        <v>257</v>
      </c>
      <c r="D14" s="47"/>
      <c r="E14" s="53">
        <v>0.6111111111111112</v>
      </c>
    </row>
    <row r="15" spans="1:5" ht="12.75">
      <c r="A15" s="46">
        <f>A5+573</f>
        <v>756.9087</v>
      </c>
      <c r="B15" s="17">
        <f>0.3048*448</f>
        <v>136.5504</v>
      </c>
      <c r="C15" s="19" t="s">
        <v>258</v>
      </c>
      <c r="D15" s="19" t="s">
        <v>246</v>
      </c>
      <c r="E15" s="53">
        <v>0.6944444444444444</v>
      </c>
    </row>
    <row r="16" spans="1:4" ht="12.75">
      <c r="A16" s="16"/>
      <c r="C16" s="19" t="s">
        <v>261</v>
      </c>
      <c r="D16" s="19"/>
    </row>
    <row r="17" ht="12.75">
      <c r="C17" s="19" t="s">
        <v>262</v>
      </c>
    </row>
    <row r="18" spans="1:4" ht="12.75">
      <c r="A18" s="16"/>
      <c r="D18" s="19"/>
    </row>
    <row r="21" spans="1:4" ht="12.75">
      <c r="A21" s="50" t="s">
        <v>2</v>
      </c>
      <c r="B21" s="36" t="s">
        <v>222</v>
      </c>
      <c r="C21" s="42" t="s">
        <v>237</v>
      </c>
      <c r="D21" s="19"/>
    </row>
    <row r="22" spans="1:5" ht="12.75">
      <c r="A22" s="16"/>
      <c r="C22" s="35"/>
      <c r="D22" s="19"/>
      <c r="E22">
        <v>3</v>
      </c>
    </row>
    <row r="23" spans="1:5" ht="12.75">
      <c r="A23" s="16"/>
      <c r="C23" s="19"/>
      <c r="D23" s="19"/>
      <c r="E23" s="52" t="s">
        <v>40</v>
      </c>
    </row>
    <row r="24" spans="1:5" ht="12.75">
      <c r="A24" s="17">
        <f>A15-A15</f>
        <v>0</v>
      </c>
      <c r="B24" s="17">
        <f>B15-B15</f>
        <v>0</v>
      </c>
      <c r="C24" s="19" t="s">
        <v>258</v>
      </c>
      <c r="D24" s="19" t="s">
        <v>241</v>
      </c>
      <c r="E24" s="53">
        <v>0.3472222222222222</v>
      </c>
    </row>
    <row r="25" spans="1:5" ht="12.75">
      <c r="A25" s="17">
        <f>A15-A14</f>
        <v>94</v>
      </c>
      <c r="B25" s="17">
        <f>B14</f>
        <v>110.33760000000001</v>
      </c>
      <c r="C25" s="19" t="s">
        <v>257</v>
      </c>
      <c r="D25" s="47"/>
      <c r="E25" s="53">
        <v>0.4270833333333333</v>
      </c>
    </row>
    <row r="26" spans="1:5" ht="12.75">
      <c r="A26" s="17">
        <f>A15-A13</f>
        <v>180</v>
      </c>
      <c r="B26" s="17">
        <f>B13</f>
        <v>416.9664</v>
      </c>
      <c r="C26" s="19" t="s">
        <v>256</v>
      </c>
      <c r="D26" s="19" t="s">
        <v>246</v>
      </c>
      <c r="E26" s="40">
        <v>0.5</v>
      </c>
    </row>
    <row r="27" spans="1:5" ht="12.75">
      <c r="A27" s="17">
        <f>A15-A12</f>
        <v>180</v>
      </c>
      <c r="B27" s="17">
        <f>B12</f>
        <v>416.9664</v>
      </c>
      <c r="C27" s="19" t="s">
        <v>256</v>
      </c>
      <c r="D27" s="19" t="s">
        <v>241</v>
      </c>
      <c r="E27" s="53">
        <v>0.5277777777777778</v>
      </c>
    </row>
    <row r="28" spans="1:5" ht="12.75">
      <c r="A28" s="17">
        <f>A15-A11</f>
        <v>197</v>
      </c>
      <c r="B28" s="17">
        <f>B11</f>
        <v>527.9136</v>
      </c>
      <c r="C28" s="39" t="s">
        <v>255</v>
      </c>
      <c r="D28" s="47"/>
      <c r="E28" s="53">
        <v>0.5555555555555556</v>
      </c>
    </row>
    <row r="29" spans="1:5" ht="12.75">
      <c r="A29" s="51">
        <f>A15-A10</f>
        <v>356.99999999999994</v>
      </c>
      <c r="B29" s="51">
        <f>B10</f>
        <v>166.4208</v>
      </c>
      <c r="C29" s="19" t="s">
        <v>250</v>
      </c>
      <c r="D29" s="19" t="s">
        <v>246</v>
      </c>
      <c r="E29" s="53">
        <v>0.71875</v>
      </c>
    </row>
    <row r="30" spans="1:6" ht="12.75">
      <c r="A30" s="49" t="s">
        <v>251</v>
      </c>
      <c r="B30" s="49" t="s">
        <v>251</v>
      </c>
      <c r="C30" s="19"/>
      <c r="D30" s="19"/>
      <c r="E30" s="16">
        <v>1</v>
      </c>
      <c r="F30" s="55">
        <f>E30</f>
        <v>1</v>
      </c>
    </row>
    <row r="31" spans="1:6" ht="12.75">
      <c r="A31" s="49" t="s">
        <v>251</v>
      </c>
      <c r="B31" s="49" t="s">
        <v>251</v>
      </c>
      <c r="C31" s="19"/>
      <c r="D31" s="19"/>
      <c r="E31" s="36" t="s">
        <v>32</v>
      </c>
      <c r="F31" s="36" t="s">
        <v>43</v>
      </c>
    </row>
    <row r="32" spans="1:5" ht="12.75">
      <c r="A32" s="17">
        <f>A15-A7</f>
        <v>356.99999999999994</v>
      </c>
      <c r="B32" s="17">
        <f>B7</f>
        <v>166.4208</v>
      </c>
      <c r="C32" s="19" t="s">
        <v>250</v>
      </c>
      <c r="D32" s="19" t="s">
        <v>241</v>
      </c>
      <c r="E32" s="53">
        <v>0.3020833333333333</v>
      </c>
    </row>
    <row r="33" spans="1:5" ht="12.75">
      <c r="A33" s="17">
        <f>A15-A6</f>
        <v>573</v>
      </c>
      <c r="B33" s="17">
        <f>B6</f>
        <v>11.5824</v>
      </c>
      <c r="C33" s="19" t="s">
        <v>245</v>
      </c>
      <c r="D33" s="19" t="s">
        <v>246</v>
      </c>
      <c r="E33" s="53">
        <v>0.4895833333333333</v>
      </c>
    </row>
    <row r="34" spans="1:6" ht="12.75">
      <c r="A34" s="32">
        <f>A15-A5</f>
        <v>573</v>
      </c>
      <c r="B34" s="17">
        <f>0.3048*38</f>
        <v>11.5824</v>
      </c>
      <c r="C34" s="19" t="s">
        <v>245</v>
      </c>
      <c r="D34" s="19" t="s">
        <v>241</v>
      </c>
      <c r="E34" s="53">
        <v>0.5625</v>
      </c>
      <c r="F34" s="53">
        <f>E34</f>
        <v>0.5625</v>
      </c>
    </row>
    <row r="35" spans="1:6" ht="12.75">
      <c r="A35" s="32">
        <f>A15-A4</f>
        <v>756.9087</v>
      </c>
      <c r="B35" s="17">
        <f>0.3048*20</f>
        <v>6.096</v>
      </c>
      <c r="C35" s="19" t="s">
        <v>219</v>
      </c>
      <c r="D35" s="19" t="s">
        <v>246</v>
      </c>
      <c r="E35" s="53">
        <v>0.75</v>
      </c>
      <c r="F35" s="53">
        <f>E35</f>
        <v>0.75</v>
      </c>
    </row>
    <row r="36" spans="3:5" ht="12.75">
      <c r="C36" s="19" t="s">
        <v>261</v>
      </c>
      <c r="E36" s="54"/>
    </row>
    <row r="37" ht="12.75">
      <c r="C37" s="19" t="s">
        <v>262</v>
      </c>
    </row>
    <row r="38" ht="12.75">
      <c r="D38" s="19"/>
    </row>
    <row r="40" spans="1:5" ht="12.75">
      <c r="A40" s="16"/>
      <c r="B40" s="16"/>
      <c r="C40" s="16"/>
      <c r="D40" s="16"/>
      <c r="E40" s="16"/>
    </row>
    <row r="41" spans="1:6" ht="12.75">
      <c r="A41" s="16"/>
      <c r="B41" s="16"/>
      <c r="C41" s="16"/>
      <c r="D41" s="16"/>
      <c r="E41" s="16"/>
      <c r="F41" s="16"/>
    </row>
    <row r="42" spans="1:6" ht="12.75">
      <c r="A42" s="3">
        <v>1947</v>
      </c>
      <c r="C42" s="35" t="s">
        <v>221</v>
      </c>
      <c r="E42" s="36"/>
      <c r="F42" s="16"/>
    </row>
    <row r="43" spans="1:6" ht="12.75">
      <c r="A43" s="36" t="s">
        <v>2</v>
      </c>
      <c r="B43" s="36" t="s">
        <v>222</v>
      </c>
      <c r="C43" s="35" t="s">
        <v>223</v>
      </c>
      <c r="F43" s="16"/>
    </row>
    <row r="44" spans="3:6" ht="12.75">
      <c r="C44" s="35" t="s">
        <v>266</v>
      </c>
      <c r="E44" s="38"/>
      <c r="F44" s="16"/>
    </row>
    <row r="45" spans="1:6" ht="12.75">
      <c r="A45" s="18">
        <v>0</v>
      </c>
      <c r="B45" s="18">
        <v>0</v>
      </c>
      <c r="C45" t="s">
        <v>225</v>
      </c>
      <c r="D45" t="s">
        <v>241</v>
      </c>
      <c r="E45" t="s">
        <v>226</v>
      </c>
      <c r="F45" s="16"/>
    </row>
    <row r="46" spans="1:6" ht="12.75">
      <c r="A46" s="18">
        <v>2.73</v>
      </c>
      <c r="B46" s="18">
        <v>0</v>
      </c>
      <c r="C46" t="s">
        <v>227</v>
      </c>
      <c r="E46" s="39"/>
      <c r="F46" s="16"/>
    </row>
    <row r="47" spans="1:6" ht="12.75">
      <c r="A47" s="18">
        <v>31.83</v>
      </c>
      <c r="B47" s="18">
        <f>0.3048*2885</f>
        <v>879.3480000000001</v>
      </c>
      <c r="C47" t="s">
        <v>228</v>
      </c>
      <c r="E47" s="40"/>
      <c r="F47" s="16"/>
    </row>
    <row r="48" spans="1:6" ht="12.75">
      <c r="A48" s="18">
        <v>52.13</v>
      </c>
      <c r="B48" s="18">
        <f>0.3048*2916</f>
        <v>888.7968000000001</v>
      </c>
      <c r="C48" t="s">
        <v>229</v>
      </c>
      <c r="E48" s="40"/>
      <c r="F48" s="16"/>
    </row>
    <row r="49" spans="1:6" ht="12.75">
      <c r="A49" s="18">
        <v>64.33</v>
      </c>
      <c r="B49" s="18">
        <f>0.3048*2158</f>
        <v>657.7584</v>
      </c>
      <c r="C49" t="s">
        <v>230</v>
      </c>
      <c r="E49" s="37"/>
      <c r="F49" s="16"/>
    </row>
    <row r="50" spans="1:6" ht="12.75">
      <c r="A50" s="18">
        <v>107.63</v>
      </c>
      <c r="B50" s="18">
        <f>0.3048*2164</f>
        <v>659.5872</v>
      </c>
      <c r="C50" t="s">
        <v>116</v>
      </c>
      <c r="E50" s="40"/>
      <c r="F50" s="16"/>
    </row>
    <row r="51" spans="1:6" ht="12.75">
      <c r="A51" s="18">
        <v>176.83</v>
      </c>
      <c r="B51" s="18">
        <f>0.3048*2079</f>
        <v>633.6792</v>
      </c>
      <c r="C51" t="s">
        <v>231</v>
      </c>
      <c r="D51" t="s">
        <v>246</v>
      </c>
      <c r="E51" s="40"/>
      <c r="F51" s="16"/>
    </row>
    <row r="52" spans="3:6" ht="12.75">
      <c r="C52" t="s">
        <v>232</v>
      </c>
      <c r="F52" s="16"/>
    </row>
    <row r="53" spans="3:6" ht="12.75">
      <c r="C53" t="s">
        <v>233</v>
      </c>
      <c r="F53" s="16"/>
    </row>
    <row r="54" spans="3:6" ht="12.75">
      <c r="C54" t="s">
        <v>234</v>
      </c>
      <c r="F54" s="16"/>
    </row>
    <row r="55" spans="3:6" ht="12.75">
      <c r="C55" t="s">
        <v>235</v>
      </c>
      <c r="F55" s="16"/>
    </row>
    <row r="56" spans="3:6" ht="12.75">
      <c r="C56" t="s">
        <v>236</v>
      </c>
      <c r="F56" s="16"/>
    </row>
    <row r="58" spans="3:6" ht="12.75">
      <c r="C58" s="35" t="s">
        <v>221</v>
      </c>
      <c r="E58" s="36"/>
      <c r="F58" s="16"/>
    </row>
    <row r="59" spans="3:6" ht="12.75">
      <c r="C59" s="35"/>
      <c r="E59" s="36"/>
      <c r="F59" s="16"/>
    </row>
    <row r="60" spans="1:6" ht="12.75">
      <c r="A60" s="36" t="s">
        <v>2</v>
      </c>
      <c r="B60" s="36" t="s">
        <v>222</v>
      </c>
      <c r="C60" s="35" t="s">
        <v>237</v>
      </c>
      <c r="F60" s="16"/>
    </row>
    <row r="61" spans="3:6" ht="12.75">
      <c r="C61" s="35" t="s">
        <v>266</v>
      </c>
      <c r="E61" s="38"/>
      <c r="F61" s="16"/>
    </row>
    <row r="62" spans="1:6" ht="12.75">
      <c r="A62" s="18">
        <f>A51-A51</f>
        <v>0</v>
      </c>
      <c r="B62" s="18">
        <f>0.3048*2079</f>
        <v>633.6792</v>
      </c>
      <c r="C62" t="s">
        <v>231</v>
      </c>
      <c r="D62" t="s">
        <v>241</v>
      </c>
      <c r="E62" t="s">
        <v>226</v>
      </c>
      <c r="F62" s="16"/>
    </row>
    <row r="63" spans="1:6" ht="12.75">
      <c r="A63" s="34">
        <f>A51-A50</f>
        <v>69.20000000000002</v>
      </c>
      <c r="B63" s="18">
        <f>0.3048*2164</f>
        <v>659.5872</v>
      </c>
      <c r="C63" t="s">
        <v>116</v>
      </c>
      <c r="E63" s="40"/>
      <c r="F63" s="16"/>
    </row>
    <row r="64" spans="1:6" ht="12.75">
      <c r="A64" s="34">
        <f>A51-A49</f>
        <v>112.50000000000001</v>
      </c>
      <c r="B64" s="18">
        <f>0.3048*2158</f>
        <v>657.7584</v>
      </c>
      <c r="C64" t="s">
        <v>230</v>
      </c>
      <c r="E64" s="40"/>
      <c r="F64" s="16"/>
    </row>
    <row r="65" spans="1:6" ht="12.75">
      <c r="A65" s="34">
        <f>A51-A48</f>
        <v>124.70000000000002</v>
      </c>
      <c r="B65" s="18">
        <f>0.3048*2916</f>
        <v>888.7968000000001</v>
      </c>
      <c r="C65" t="s">
        <v>229</v>
      </c>
      <c r="E65" s="40"/>
      <c r="F65" s="16"/>
    </row>
    <row r="66" spans="1:6" ht="12.75">
      <c r="A66" s="34">
        <f>A51-A47</f>
        <v>145</v>
      </c>
      <c r="B66" s="18">
        <f>0.3048*2885</f>
        <v>879.3480000000001</v>
      </c>
      <c r="C66" t="s">
        <v>228</v>
      </c>
      <c r="E66" s="40"/>
      <c r="F66" s="16"/>
    </row>
    <row r="67" spans="1:6" ht="12.75">
      <c r="A67" s="34">
        <f>A51-A46</f>
        <v>174.10000000000002</v>
      </c>
      <c r="B67" s="18">
        <v>0</v>
      </c>
      <c r="C67" t="s">
        <v>227</v>
      </c>
      <c r="D67" t="s">
        <v>246</v>
      </c>
      <c r="E67" s="39"/>
      <c r="F67" s="16"/>
    </row>
    <row r="68" spans="1:6" ht="12.75">
      <c r="A68" s="34">
        <f>A51-A45</f>
        <v>176.83</v>
      </c>
      <c r="B68" s="18">
        <v>0</v>
      </c>
      <c r="C68" t="s">
        <v>225</v>
      </c>
      <c r="D68" t="s">
        <v>246</v>
      </c>
      <c r="E68" s="40"/>
      <c r="F68" s="16"/>
    </row>
    <row r="69" spans="3:6" ht="12.75">
      <c r="C69" t="s">
        <v>239</v>
      </c>
      <c r="E69" s="12"/>
      <c r="F69" s="16"/>
    </row>
    <row r="70" spans="3:6" ht="12.75">
      <c r="C70" t="s">
        <v>233</v>
      </c>
      <c r="F70" s="16"/>
    </row>
    <row r="71" spans="3:6" ht="12.75">
      <c r="C71" t="s">
        <v>234</v>
      </c>
      <c r="F71" s="16"/>
    </row>
    <row r="72" spans="3:6" ht="12.75">
      <c r="C72" t="s">
        <v>235</v>
      </c>
      <c r="F72" s="16"/>
    </row>
    <row r="73" spans="3:6" ht="12.75">
      <c r="C73" t="s">
        <v>236</v>
      </c>
      <c r="F73" s="16"/>
    </row>
    <row r="74" ht="12.75">
      <c r="F74" s="1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6.xml><?xml version="1.0" encoding="utf-8"?>
<worksheet xmlns="http://schemas.openxmlformats.org/spreadsheetml/2006/main" xmlns:r="http://schemas.openxmlformats.org/officeDocument/2006/relationships">
  <dimension ref="A1:IU74"/>
  <sheetViews>
    <sheetView zoomScale="80" zoomScaleNormal="80" workbookViewId="0" topLeftCell="A1">
      <selection activeCell="A1" sqref="A1"/>
    </sheetView>
  </sheetViews>
  <sheetFormatPr defaultColWidth="12.57421875" defaultRowHeight="12.75"/>
  <cols>
    <col min="1" max="1" width="5.57421875" style="16" customWidth="1"/>
    <col min="2" max="2" width="7.421875" style="16" customWidth="1"/>
    <col min="3" max="3" width="17.00390625" style="16" customWidth="1"/>
    <col min="4" max="4" width="2.140625" style="16" customWidth="1"/>
    <col min="5" max="255" width="11.57421875" style="16" customWidth="1"/>
    <col min="256" max="16384" width="11.57421875" style="0" customWidth="1"/>
  </cols>
  <sheetData>
    <row r="1" spans="1:22" ht="12.75">
      <c r="A1" s="3">
        <v>1952</v>
      </c>
      <c r="B1"/>
      <c r="C1" s="3" t="s">
        <v>34</v>
      </c>
      <c r="D1" s="19"/>
      <c r="E1"/>
      <c r="F1"/>
      <c r="G1"/>
      <c r="H1"/>
      <c r="I1"/>
      <c r="J1"/>
      <c r="K1"/>
      <c r="L1"/>
      <c r="M1"/>
      <c r="N1"/>
      <c r="O1"/>
      <c r="P1"/>
      <c r="Q1"/>
      <c r="R1"/>
      <c r="S1"/>
      <c r="T1"/>
      <c r="U1"/>
      <c r="V1"/>
    </row>
    <row r="2" spans="1:17" ht="12.75">
      <c r="A2" t="s">
        <v>2</v>
      </c>
      <c r="B2" s="36" t="s">
        <v>222</v>
      </c>
      <c r="C2" s="42" t="s">
        <v>223</v>
      </c>
      <c r="D2" s="19"/>
      <c r="E2" s="41" t="s">
        <v>57</v>
      </c>
      <c r="F2" s="11"/>
      <c r="G2"/>
      <c r="H2"/>
      <c r="I2"/>
      <c r="J2"/>
      <c r="K2"/>
      <c r="L2"/>
      <c r="M2"/>
      <c r="N2"/>
      <c r="O2"/>
      <c r="P2"/>
      <c r="Q2"/>
    </row>
    <row r="3" spans="1:17" ht="12.75">
      <c r="A3"/>
      <c r="B3"/>
      <c r="C3" s="35" t="s">
        <v>268</v>
      </c>
      <c r="D3" s="19"/>
      <c r="E3" s="43" t="s">
        <v>58</v>
      </c>
      <c r="F3" s="23" t="s">
        <v>22</v>
      </c>
      <c r="G3" s="23" t="s">
        <v>55</v>
      </c>
      <c r="H3" s="23" t="s">
        <v>22</v>
      </c>
      <c r="I3"/>
      <c r="J3"/>
      <c r="K3"/>
      <c r="L3" s="56"/>
      <c r="M3"/>
      <c r="N3"/>
      <c r="O3"/>
      <c r="P3"/>
      <c r="Q3"/>
    </row>
    <row r="4" spans="1:17" ht="12.75">
      <c r="A4">
        <v>0</v>
      </c>
      <c r="B4" s="17">
        <f>0.3048*20</f>
        <v>6.096</v>
      </c>
      <c r="C4" s="19" t="s">
        <v>219</v>
      </c>
      <c r="D4" s="19" t="s">
        <v>241</v>
      </c>
      <c r="E4"/>
      <c r="F4"/>
      <c r="G4" s="39">
        <v>0.3125</v>
      </c>
      <c r="H4"/>
      <c r="I4"/>
      <c r="J4"/>
      <c r="K4"/>
      <c r="L4"/>
      <c r="M4"/>
      <c r="N4"/>
      <c r="O4"/>
      <c r="P4"/>
      <c r="Q4"/>
    </row>
    <row r="5" spans="1:17" ht="12.75">
      <c r="A5" s="36" t="s">
        <v>251</v>
      </c>
      <c r="B5" s="17">
        <f>B31</f>
        <v>6.4008</v>
      </c>
      <c r="C5" s="19" t="s">
        <v>269</v>
      </c>
      <c r="D5" s="19"/>
      <c r="E5"/>
      <c r="F5"/>
      <c r="G5" s="36" t="s">
        <v>251</v>
      </c>
      <c r="H5" s="39">
        <v>0.625</v>
      </c>
      <c r="I5"/>
      <c r="J5"/>
      <c r="K5"/>
      <c r="L5"/>
      <c r="M5"/>
      <c r="N5"/>
      <c r="O5"/>
      <c r="P5"/>
      <c r="Q5"/>
    </row>
    <row r="6" spans="1:17" ht="12.75">
      <c r="A6">
        <v>102</v>
      </c>
      <c r="B6" s="17">
        <f>B30</f>
        <v>10.0584</v>
      </c>
      <c r="C6" s="19" t="s">
        <v>270</v>
      </c>
      <c r="D6" s="19"/>
      <c r="E6"/>
      <c r="F6"/>
      <c r="G6" s="36" t="s">
        <v>251</v>
      </c>
      <c r="H6" s="39">
        <v>0.6458333333333334</v>
      </c>
      <c r="I6"/>
      <c r="J6"/>
      <c r="K6"/>
      <c r="L6"/>
      <c r="M6"/>
      <c r="N6"/>
      <c r="O6"/>
      <c r="P6" s="22"/>
      <c r="Q6"/>
    </row>
    <row r="7" spans="1:17" ht="12.75">
      <c r="A7" t="s">
        <v>271</v>
      </c>
      <c r="B7" s="17">
        <f>0.3048*38</f>
        <v>11.5824</v>
      </c>
      <c r="C7" s="19" t="s">
        <v>245</v>
      </c>
      <c r="D7" s="19"/>
      <c r="E7" s="39">
        <v>0.3541666666666667</v>
      </c>
      <c r="F7" s="39">
        <v>0.3541666666666667</v>
      </c>
      <c r="G7" s="39">
        <v>0.5</v>
      </c>
      <c r="H7" s="39">
        <v>0.7118055555555556</v>
      </c>
      <c r="I7"/>
      <c r="J7"/>
      <c r="K7"/>
      <c r="L7"/>
      <c r="M7"/>
      <c r="N7"/>
      <c r="O7"/>
      <c r="P7" s="22"/>
      <c r="Q7"/>
    </row>
    <row r="8" spans="1:22" ht="12.75">
      <c r="A8">
        <v>59</v>
      </c>
      <c r="B8" s="17">
        <f>0.3048*36</f>
        <v>10.972800000000001</v>
      </c>
      <c r="C8" s="19" t="s">
        <v>247</v>
      </c>
      <c r="D8" s="19"/>
      <c r="E8" s="36" t="s">
        <v>251</v>
      </c>
      <c r="F8" s="39">
        <v>0.4583333333333333</v>
      </c>
      <c r="G8"/>
      <c r="H8"/>
      <c r="I8"/>
      <c r="J8"/>
      <c r="K8"/>
      <c r="L8"/>
      <c r="M8"/>
      <c r="N8"/>
      <c r="O8"/>
      <c r="P8"/>
      <c r="Q8"/>
      <c r="R8"/>
      <c r="S8"/>
      <c r="T8"/>
      <c r="U8"/>
      <c r="V8"/>
    </row>
    <row r="9" spans="1:22" ht="12.75">
      <c r="A9">
        <v>69</v>
      </c>
      <c r="B9"/>
      <c r="C9" s="19" t="s">
        <v>272</v>
      </c>
      <c r="D9" s="19"/>
      <c r="E9" s="36" t="s">
        <v>251</v>
      </c>
      <c r="F9" s="39">
        <v>0.4798611111111111</v>
      </c>
      <c r="G9"/>
      <c r="H9"/>
      <c r="I9"/>
      <c r="J9"/>
      <c r="K9"/>
      <c r="L9"/>
      <c r="M9"/>
      <c r="N9"/>
      <c r="O9"/>
      <c r="P9"/>
      <c r="Q9"/>
      <c r="R9"/>
      <c r="S9"/>
      <c r="T9"/>
      <c r="U9"/>
      <c r="V9"/>
    </row>
    <row r="10" spans="1:22" ht="12.75">
      <c r="A10">
        <v>80</v>
      </c>
      <c r="B10"/>
      <c r="C10" s="19" t="s">
        <v>273</v>
      </c>
      <c r="D10" s="19"/>
      <c r="E10" s="36" t="s">
        <v>251</v>
      </c>
      <c r="F10" s="39">
        <v>0.5034722222222222</v>
      </c>
      <c r="G10"/>
      <c r="H10"/>
      <c r="I10"/>
      <c r="J10"/>
      <c r="K10"/>
      <c r="L10"/>
      <c r="M10"/>
      <c r="N10"/>
      <c r="O10"/>
      <c r="P10"/>
      <c r="Q10"/>
      <c r="R10"/>
      <c r="S10"/>
      <c r="T10"/>
      <c r="U10"/>
      <c r="V10"/>
    </row>
    <row r="11" spans="1:22" ht="12.75">
      <c r="A11">
        <v>89</v>
      </c>
      <c r="B11"/>
      <c r="C11" s="19" t="s">
        <v>274</v>
      </c>
      <c r="D11" s="19" t="s">
        <v>246</v>
      </c>
      <c r="E11" s="36" t="s">
        <v>251</v>
      </c>
      <c r="F11" s="39">
        <v>0.5173611111111112</v>
      </c>
      <c r="G11"/>
      <c r="H11"/>
      <c r="I11"/>
      <c r="J11"/>
      <c r="K11"/>
      <c r="L11"/>
      <c r="M11"/>
      <c r="N11"/>
      <c r="O11"/>
      <c r="P11"/>
      <c r="Q11"/>
      <c r="R11"/>
      <c r="S11"/>
      <c r="T11"/>
      <c r="U11"/>
      <c r="V11"/>
    </row>
    <row r="12" spans="1:22" ht="12.75">
      <c r="A12">
        <v>216</v>
      </c>
      <c r="B12" s="17">
        <f>0.3048*546</f>
        <v>166.4208</v>
      </c>
      <c r="C12" s="19" t="s">
        <v>250</v>
      </c>
      <c r="D12" s="19" t="s">
        <v>241</v>
      </c>
      <c r="E12" s="39">
        <v>0.5347222222222222</v>
      </c>
      <c r="F12"/>
      <c r="G12"/>
      <c r="H12"/>
      <c r="I12"/>
      <c r="J12"/>
      <c r="K12"/>
      <c r="L12"/>
      <c r="M12"/>
      <c r="N12"/>
      <c r="O12"/>
      <c r="P12"/>
      <c r="Q12"/>
      <c r="R12"/>
      <c r="S12"/>
      <c r="T12"/>
      <c r="U12"/>
      <c r="V12"/>
    </row>
    <row r="13" spans="1:22" ht="12.75">
      <c r="A13">
        <v>376</v>
      </c>
      <c r="B13" s="17">
        <f>0.3048*1732</f>
        <v>527.9136</v>
      </c>
      <c r="C13" s="15" t="s">
        <v>255</v>
      </c>
      <c r="D13" s="19"/>
      <c r="E13" s="39">
        <v>0.6916666666666667</v>
      </c>
      <c r="F13"/>
      <c r="G13"/>
      <c r="H13"/>
      <c r="I13"/>
      <c r="J13"/>
      <c r="K13"/>
      <c r="L13"/>
      <c r="M13"/>
      <c r="N13"/>
      <c r="O13"/>
      <c r="P13"/>
      <c r="Q13"/>
      <c r="R13"/>
      <c r="S13"/>
      <c r="T13"/>
      <c r="U13"/>
      <c r="V13"/>
    </row>
    <row r="14" spans="1:22" ht="12.75">
      <c r="A14">
        <v>393</v>
      </c>
      <c r="B14" s="17">
        <f>0.3048*1368</f>
        <v>416.9664</v>
      </c>
      <c r="C14" s="19" t="s">
        <v>256</v>
      </c>
      <c r="D14" s="19"/>
      <c r="E14" s="39">
        <v>0.7256944444444444</v>
      </c>
      <c r="F14"/>
      <c r="G14"/>
      <c r="H14"/>
      <c r="I14"/>
      <c r="J14"/>
      <c r="K14"/>
      <c r="L14"/>
      <c r="M14"/>
      <c r="N14"/>
      <c r="O14"/>
      <c r="P14"/>
      <c r="Q14"/>
      <c r="R14"/>
      <c r="S14"/>
      <c r="T14"/>
      <c r="U14"/>
      <c r="V14"/>
    </row>
    <row r="15" spans="1:22" ht="12.75">
      <c r="A15">
        <v>479</v>
      </c>
      <c r="B15" s="17">
        <f>0.3048*362</f>
        <v>110.33760000000001</v>
      </c>
      <c r="C15" s="19" t="s">
        <v>257</v>
      </c>
      <c r="D15" s="19"/>
      <c r="E15" s="39">
        <v>0.7840277777777778</v>
      </c>
      <c r="F15"/>
      <c r="G15"/>
      <c r="H15"/>
      <c r="I15"/>
      <c r="J15"/>
      <c r="K15"/>
      <c r="L15"/>
      <c r="M15"/>
      <c r="N15"/>
      <c r="O15"/>
      <c r="P15"/>
      <c r="Q15"/>
      <c r="R15"/>
      <c r="S15"/>
      <c r="T15"/>
      <c r="U15"/>
      <c r="V15"/>
    </row>
    <row r="16" spans="1:22" ht="12.75">
      <c r="A16">
        <v>573</v>
      </c>
      <c r="B16" s="17">
        <f>0.3048*448</f>
        <v>136.5504</v>
      </c>
      <c r="C16" s="19" t="s">
        <v>258</v>
      </c>
      <c r="D16" s="19" t="s">
        <v>246</v>
      </c>
      <c r="E16" s="39">
        <v>0.8541666666666666</v>
      </c>
      <c r="F16"/>
      <c r="G16"/>
      <c r="H16"/>
      <c r="I16"/>
      <c r="J16"/>
      <c r="K16"/>
      <c r="L16"/>
      <c r="M16"/>
      <c r="N16"/>
      <c r="O16"/>
      <c r="P16"/>
      <c r="Q16"/>
      <c r="R16"/>
      <c r="S16"/>
      <c r="T16"/>
      <c r="U16"/>
      <c r="V16"/>
    </row>
    <row r="17" spans="1:22" ht="12.75">
      <c r="A17"/>
      <c r="B17"/>
      <c r="C17"/>
      <c r="D17"/>
      <c r="E17"/>
      <c r="F17"/>
      <c r="G17"/>
      <c r="H17"/>
      <c r="I17"/>
      <c r="J17"/>
      <c r="K17"/>
      <c r="L17"/>
      <c r="M17"/>
      <c r="N17"/>
      <c r="O17"/>
      <c r="P17"/>
      <c r="Q17"/>
      <c r="R17"/>
      <c r="S17"/>
      <c r="T17"/>
      <c r="U17"/>
      <c r="V17"/>
    </row>
    <row r="18" spans="1:22" ht="12.75">
      <c r="A18" t="s">
        <v>2</v>
      </c>
      <c r="B18" s="36" t="s">
        <v>222</v>
      </c>
      <c r="C18" s="42" t="s">
        <v>237</v>
      </c>
      <c r="D18" s="19"/>
      <c r="E18" s="57"/>
      <c r="F18"/>
      <c r="G18"/>
      <c r="H18" s="41" t="s">
        <v>57</v>
      </c>
      <c r="I18"/>
      <c r="J18"/>
      <c r="K18"/>
      <c r="L18"/>
      <c r="M18"/>
      <c r="N18"/>
      <c r="O18"/>
      <c r="P18"/>
      <c r="Q18"/>
      <c r="R18"/>
      <c r="S18"/>
      <c r="T18"/>
      <c r="U18"/>
      <c r="V18"/>
    </row>
    <row r="19" spans="1:22" ht="12.75">
      <c r="A19"/>
      <c r="B19"/>
      <c r="C19" s="35" t="s">
        <v>268</v>
      </c>
      <c r="D19" s="19"/>
      <c r="E19" s="23" t="s">
        <v>22</v>
      </c>
      <c r="F19" s="23" t="s">
        <v>55</v>
      </c>
      <c r="G19" s="23" t="s">
        <v>22</v>
      </c>
      <c r="H19" s="43" t="s">
        <v>58</v>
      </c>
      <c r="I19"/>
      <c r="J19"/>
      <c r="K19"/>
      <c r="L19"/>
      <c r="M19"/>
      <c r="N19"/>
      <c r="O19"/>
      <c r="P19"/>
      <c r="Q19"/>
      <c r="R19"/>
      <c r="S19"/>
      <c r="T19"/>
      <c r="U19"/>
      <c r="V19"/>
    </row>
    <row r="20" spans="1:22" ht="12.75">
      <c r="A20">
        <v>0</v>
      </c>
      <c r="B20" s="17">
        <f>B16-B16</f>
        <v>0</v>
      </c>
      <c r="C20" s="19" t="s">
        <v>258</v>
      </c>
      <c r="D20" s="19" t="s">
        <v>241</v>
      </c>
      <c r="E20"/>
      <c r="F20"/>
      <c r="G20"/>
      <c r="H20" s="39">
        <v>0.3541666666666667</v>
      </c>
      <c r="I20"/>
      <c r="J20"/>
      <c r="K20"/>
      <c r="L20"/>
      <c r="M20"/>
      <c r="N20"/>
      <c r="O20"/>
      <c r="P20"/>
      <c r="Q20"/>
      <c r="R20"/>
      <c r="S20"/>
      <c r="T20"/>
      <c r="U20"/>
      <c r="V20"/>
    </row>
    <row r="21" spans="1:22" ht="12.75">
      <c r="A21">
        <v>94</v>
      </c>
      <c r="B21" s="17">
        <f>B15</f>
        <v>110.33760000000001</v>
      </c>
      <c r="C21" s="19" t="s">
        <v>257</v>
      </c>
      <c r="D21" s="19"/>
      <c r="E21"/>
      <c r="F21"/>
      <c r="G21"/>
      <c r="H21" s="39">
        <v>0.42083333333333334</v>
      </c>
      <c r="I21"/>
      <c r="J21"/>
      <c r="K21"/>
      <c r="L21"/>
      <c r="M21"/>
      <c r="N21"/>
      <c r="O21"/>
      <c r="P21"/>
      <c r="Q21"/>
      <c r="R21"/>
      <c r="S21"/>
      <c r="T21"/>
      <c r="U21"/>
      <c r="V21"/>
    </row>
    <row r="22" spans="1:22" ht="12.75">
      <c r="A22">
        <v>180</v>
      </c>
      <c r="B22" s="17">
        <f>B14</f>
        <v>416.9664</v>
      </c>
      <c r="C22" s="19" t="s">
        <v>256</v>
      </c>
      <c r="D22" s="19"/>
      <c r="E22"/>
      <c r="F22"/>
      <c r="G22"/>
      <c r="H22" s="39">
        <v>0.4895833333333333</v>
      </c>
      <c r="I22"/>
      <c r="J22"/>
      <c r="K22"/>
      <c r="L22"/>
      <c r="M22"/>
      <c r="N22"/>
      <c r="O22"/>
      <c r="P22"/>
      <c r="Q22"/>
      <c r="R22"/>
      <c r="S22"/>
      <c r="T22"/>
      <c r="U22"/>
      <c r="V22"/>
    </row>
    <row r="23" spans="1:22" ht="12.75">
      <c r="A23">
        <v>197</v>
      </c>
      <c r="B23" s="17">
        <f>B13</f>
        <v>527.9136</v>
      </c>
      <c r="C23" s="39" t="s">
        <v>255</v>
      </c>
      <c r="D23" s="19"/>
      <c r="E23"/>
      <c r="F23"/>
      <c r="G23"/>
      <c r="H23" s="39">
        <v>0.5180555555555556</v>
      </c>
      <c r="I23"/>
      <c r="J23"/>
      <c r="K23"/>
      <c r="L23"/>
      <c r="M23"/>
      <c r="N23"/>
      <c r="O23"/>
      <c r="P23"/>
      <c r="Q23"/>
      <c r="R23"/>
      <c r="S23"/>
      <c r="T23"/>
      <c r="U23"/>
      <c r="V23"/>
    </row>
    <row r="24" spans="1:254" ht="12.75">
      <c r="A24">
        <v>357</v>
      </c>
      <c r="B24" s="17">
        <f>B12</f>
        <v>166.4208</v>
      </c>
      <c r="C24" s="19" t="s">
        <v>250</v>
      </c>
      <c r="D24" s="47"/>
      <c r="E24"/>
      <c r="F24"/>
      <c r="G24"/>
      <c r="H24" s="39">
        <v>0.6736111111111112</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5" ht="12.75">
      <c r="A25" s="36" t="s">
        <v>251</v>
      </c>
      <c r="B25"/>
      <c r="C25" t="s">
        <v>274</v>
      </c>
      <c r="D25"/>
      <c r="E25"/>
      <c r="F25"/>
      <c r="G25" s="39">
        <v>0.6041666666666666</v>
      </c>
      <c r="H25" s="36" t="s">
        <v>251</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36" t="s">
        <v>251</v>
      </c>
      <c r="B26"/>
      <c r="C26" t="s">
        <v>273</v>
      </c>
      <c r="D26"/>
      <c r="E26"/>
      <c r="F26"/>
      <c r="G26" s="39">
        <v>0.6145833333333334</v>
      </c>
      <c r="H26" s="36" t="s">
        <v>251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 r="A27" s="36" t="s">
        <v>251</v>
      </c>
      <c r="B27"/>
      <c r="C27" t="s">
        <v>272</v>
      </c>
      <c r="D27"/>
      <c r="E27"/>
      <c r="F27"/>
      <c r="G27" s="39">
        <v>0.6354166666666666</v>
      </c>
      <c r="H27" s="36" t="s">
        <v>251</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2" ht="12.75">
      <c r="A28">
        <v>420</v>
      </c>
      <c r="B28" s="17">
        <f>B8</f>
        <v>10.972800000000001</v>
      </c>
      <c r="C28" s="16" t="s">
        <v>247</v>
      </c>
      <c r="D28" s="19"/>
      <c r="E28"/>
      <c r="F28"/>
      <c r="G28" s="39">
        <v>0.6597222222222222</v>
      </c>
      <c r="H28" s="36" t="s">
        <v>251</v>
      </c>
      <c r="I28"/>
      <c r="J28"/>
      <c r="K28"/>
      <c r="L28"/>
      <c r="M28"/>
      <c r="N28"/>
      <c r="O28"/>
      <c r="P28"/>
      <c r="Q28"/>
      <c r="R28"/>
      <c r="S28"/>
      <c r="T28"/>
      <c r="U28"/>
      <c r="V28"/>
    </row>
    <row r="29" spans="1:22" ht="12.75">
      <c r="A29" t="s">
        <v>275</v>
      </c>
      <c r="B29" s="17">
        <f>B7</f>
        <v>11.5824</v>
      </c>
      <c r="C29" s="19" t="s">
        <v>245</v>
      </c>
      <c r="D29" s="19"/>
      <c r="E29" s="39">
        <v>0.3888888888888889</v>
      </c>
      <c r="F29" s="39">
        <v>0.6458333333333334</v>
      </c>
      <c r="G29" s="39">
        <v>0.7291666666666666</v>
      </c>
      <c r="H29" s="39">
        <v>0.84375</v>
      </c>
      <c r="I29"/>
      <c r="J29"/>
      <c r="K29"/>
      <c r="L29"/>
      <c r="M29"/>
      <c r="N29"/>
      <c r="O29"/>
      <c r="P29"/>
      <c r="Q29"/>
      <c r="R29"/>
      <c r="S29"/>
      <c r="T29"/>
      <c r="U29"/>
      <c r="V29"/>
    </row>
    <row r="30" spans="1:17" ht="12.75">
      <c r="A30">
        <v>81</v>
      </c>
      <c r="B30" s="17">
        <f>0.3048*33</f>
        <v>10.0584</v>
      </c>
      <c r="C30" s="19" t="s">
        <v>270</v>
      </c>
      <c r="D30" s="19"/>
      <c r="E30" s="39">
        <v>0.4618055555555556</v>
      </c>
      <c r="F30" s="36" t="s">
        <v>251</v>
      </c>
      <c r="G30"/>
      <c r="H30"/>
      <c r="I30"/>
      <c r="J30"/>
      <c r="K30"/>
      <c r="L30"/>
      <c r="M30"/>
      <c r="N30"/>
      <c r="O30"/>
      <c r="P30"/>
      <c r="Q30"/>
    </row>
    <row r="31" spans="1:17" ht="12.75">
      <c r="A31">
        <v>100</v>
      </c>
      <c r="B31" s="17">
        <f>0.3048*21</f>
        <v>6.4008</v>
      </c>
      <c r="C31" s="19" t="s">
        <v>269</v>
      </c>
      <c r="D31" s="19" t="s">
        <v>246</v>
      </c>
      <c r="E31" s="39">
        <v>0.4826388888888889</v>
      </c>
      <c r="F31" s="36" t="s">
        <v>251</v>
      </c>
      <c r="G31"/>
      <c r="H31"/>
      <c r="I31"/>
      <c r="J31"/>
      <c r="K31"/>
      <c r="L31"/>
      <c r="M31"/>
      <c r="N31"/>
      <c r="O31"/>
      <c r="P31"/>
      <c r="Q31"/>
    </row>
    <row r="32" spans="1:17" ht="12.75">
      <c r="A32">
        <v>183</v>
      </c>
      <c r="B32" s="17">
        <f>0.3048*20</f>
        <v>6.096</v>
      </c>
      <c r="C32" s="19" t="s">
        <v>219</v>
      </c>
      <c r="D32" s="19" t="s">
        <v>246</v>
      </c>
      <c r="E32"/>
      <c r="F32" s="39">
        <v>0.8333333333333334</v>
      </c>
      <c r="G32"/>
      <c r="H32"/>
      <c r="I32"/>
      <c r="J32"/>
      <c r="K32" s="12"/>
      <c r="L32"/>
      <c r="M32"/>
      <c r="N32"/>
      <c r="O32"/>
      <c r="P32"/>
      <c r="Q32"/>
    </row>
    <row r="33" spans="2:17" ht="12.75">
      <c r="B33"/>
      <c r="C33"/>
      <c r="D33" s="19"/>
      <c r="E33" s="19"/>
      <c r="F33"/>
      <c r="G33"/>
      <c r="H33"/>
      <c r="I33"/>
      <c r="J33"/>
      <c r="K33"/>
      <c r="L33"/>
      <c r="M33"/>
      <c r="N33"/>
      <c r="O33"/>
      <c r="P33" s="58"/>
      <c r="Q33"/>
    </row>
    <row r="34" spans="1:17" ht="12.75">
      <c r="A34"/>
      <c r="B34"/>
      <c r="C34"/>
      <c r="D34"/>
      <c r="E34"/>
      <c r="F34"/>
      <c r="G34"/>
      <c r="H34"/>
      <c r="I34"/>
      <c r="J34"/>
      <c r="K34"/>
      <c r="L34"/>
      <c r="M34"/>
      <c r="N34" s="12"/>
      <c r="O34" s="12"/>
      <c r="P34"/>
      <c r="Q34"/>
    </row>
    <row r="35" spans="1:17" ht="12.75">
      <c r="A35" s="3">
        <v>1952</v>
      </c>
      <c r="B35"/>
      <c r="C35" s="35" t="s">
        <v>221</v>
      </c>
      <c r="D35"/>
      <c r="E35" s="4" t="s">
        <v>53</v>
      </c>
      <c r="F35" s="36"/>
      <c r="G35"/>
      <c r="H35"/>
      <c r="I35"/>
      <c r="J35" s="22"/>
      <c r="K35" s="22"/>
      <c r="L35"/>
      <c r="M35"/>
      <c r="N35" s="12"/>
      <c r="O35" s="12"/>
      <c r="P35"/>
      <c r="Q35"/>
    </row>
    <row r="36" spans="1:17" ht="12.75">
      <c r="A36" s="36" t="s">
        <v>2</v>
      </c>
      <c r="B36" s="36" t="s">
        <v>222</v>
      </c>
      <c r="C36" s="35" t="s">
        <v>223</v>
      </c>
      <c r="D36"/>
      <c r="E36">
        <v>3</v>
      </c>
      <c r="F36">
        <v>5</v>
      </c>
      <c r="G36" s="12">
        <v>1</v>
      </c>
      <c r="H36"/>
      <c r="I36"/>
      <c r="J36" s="22"/>
      <c r="K36" s="22"/>
      <c r="L36"/>
      <c r="M36"/>
      <c r="N36"/>
      <c r="O36"/>
      <c r="P36"/>
      <c r="Q36"/>
    </row>
    <row r="37" spans="1:17" ht="12.75">
      <c r="A37"/>
      <c r="B37"/>
      <c r="C37" s="35" t="s">
        <v>224</v>
      </c>
      <c r="D37"/>
      <c r="E37" s="38" t="s">
        <v>276</v>
      </c>
      <c r="F37" s="38" t="s">
        <v>51</v>
      </c>
      <c r="G37" s="38" t="s">
        <v>276</v>
      </c>
      <c r="H37"/>
      <c r="I37"/>
      <c r="J37"/>
      <c r="K37" s="22"/>
      <c r="L37"/>
      <c r="M37"/>
      <c r="N37"/>
      <c r="O37"/>
      <c r="P37"/>
      <c r="Q37"/>
    </row>
    <row r="38" spans="1:17" ht="12.75">
      <c r="A38" s="18">
        <v>0</v>
      </c>
      <c r="B38" s="18">
        <v>0</v>
      </c>
      <c r="C38" t="s">
        <v>225</v>
      </c>
      <c r="D38" t="s">
        <v>241</v>
      </c>
      <c r="E38" s="40">
        <v>0.3541666666666667</v>
      </c>
      <c r="F38"/>
      <c r="G38"/>
      <c r="H38"/>
      <c r="I38"/>
      <c r="J38"/>
      <c r="K38" s="22"/>
      <c r="L38"/>
      <c r="M38"/>
      <c r="N38"/>
      <c r="O38"/>
      <c r="P38"/>
      <c r="Q38"/>
    </row>
    <row r="39" spans="1:255" ht="12.75">
      <c r="A39" s="18">
        <v>2.73</v>
      </c>
      <c r="B39" s="18">
        <v>0</v>
      </c>
      <c r="C39" t="s">
        <v>227</v>
      </c>
      <c r="D39"/>
      <c r="E39" s="59" t="s">
        <v>251</v>
      </c>
      <c r="F39" s="39">
        <v>0.3645833333333333</v>
      </c>
      <c r="G39" s="40">
        <v>0.4270833333333333</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4" ht="12.75">
      <c r="A40" s="18">
        <v>31.83</v>
      </c>
      <c r="B40" s="18">
        <f>0.3048*2885</f>
        <v>879.3480000000001</v>
      </c>
      <c r="C40" t="s">
        <v>228</v>
      </c>
      <c r="D40"/>
      <c r="E40" s="40">
        <v>0.3993055555555556</v>
      </c>
      <c r="F40" s="40">
        <v>0.4340277777777778</v>
      </c>
      <c r="G40" s="40">
        <v>0.4965277777777778</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12.75">
      <c r="A41" s="18">
        <v>52.13</v>
      </c>
      <c r="B41" s="18">
        <f>0.3048*2916</f>
        <v>888.7968000000001</v>
      </c>
      <c r="C41" t="s">
        <v>229</v>
      </c>
      <c r="D41"/>
      <c r="E41" s="40">
        <v>0.4201388888888889</v>
      </c>
      <c r="F41" s="40">
        <v>0.4583333333333333</v>
      </c>
      <c r="G41" s="40">
        <v>0.5208333333333334</v>
      </c>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17" ht="12.75">
      <c r="A42" s="18">
        <v>64.33</v>
      </c>
      <c r="B42" s="18">
        <f>0.3048*2158</f>
        <v>657.7584</v>
      </c>
      <c r="C42" t="s">
        <v>230</v>
      </c>
      <c r="D42" t="s">
        <v>246</v>
      </c>
      <c r="E42" s="40">
        <v>0.4340277777777778</v>
      </c>
      <c r="F42" s="37">
        <v>0.4756944444444444</v>
      </c>
      <c r="G42" s="40">
        <v>0.5381944444444444</v>
      </c>
      <c r="H42"/>
      <c r="I42"/>
      <c r="J42"/>
      <c r="K42"/>
      <c r="L42"/>
      <c r="M42"/>
      <c r="N42" s="22"/>
      <c r="O42"/>
      <c r="P42"/>
      <c r="Q42"/>
    </row>
    <row r="43" spans="1:255" ht="12.75">
      <c r="A43" s="18">
        <v>64.33</v>
      </c>
      <c r="B43" s="18">
        <f>0.3048*2158</f>
        <v>657.7584</v>
      </c>
      <c r="C43" t="s">
        <v>277</v>
      </c>
      <c r="D43" t="s">
        <v>241</v>
      </c>
      <c r="E43" s="40">
        <v>0.4340277777777778</v>
      </c>
      <c r="F43" s="37">
        <v>0.4965277777777778</v>
      </c>
      <c r="G43" s="40">
        <v>0.5590277777777778</v>
      </c>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2.75">
      <c r="A44" s="18">
        <v>107.63</v>
      </c>
      <c r="B44" s="18">
        <f>0.3048*2164</f>
        <v>659.5872</v>
      </c>
      <c r="C44" t="s">
        <v>278</v>
      </c>
      <c r="D44" t="s">
        <v>246</v>
      </c>
      <c r="E44" s="40">
        <v>0.4791666666666667</v>
      </c>
      <c r="F44" s="37">
        <v>0.5479166666666667</v>
      </c>
      <c r="G44" s="40">
        <v>0.6104166666666667</v>
      </c>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12.75">
      <c r="A45" s="18">
        <v>107.63</v>
      </c>
      <c r="B45" s="18">
        <f>0.3048*2164</f>
        <v>659.5872</v>
      </c>
      <c r="C45" t="s">
        <v>116</v>
      </c>
      <c r="D45" t="s">
        <v>241</v>
      </c>
      <c r="E45" s="40"/>
      <c r="F45" s="40">
        <v>0.5569444444444445</v>
      </c>
      <c r="G45" s="40">
        <v>0.6194444444444445</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12.75">
      <c r="A46" s="18">
        <v>176.83</v>
      </c>
      <c r="B46" s="18">
        <f>0.3048*2079</f>
        <v>633.6792</v>
      </c>
      <c r="C46" t="s">
        <v>231</v>
      </c>
      <c r="D46" t="s">
        <v>246</v>
      </c>
      <c r="E46"/>
      <c r="F46" s="40">
        <v>0.6388888888888888</v>
      </c>
      <c r="G46" s="40">
        <v>0.6840277777777778</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12.75">
      <c r="A47"/>
      <c r="B47"/>
      <c r="C47" t="s">
        <v>232</v>
      </c>
      <c r="D47"/>
      <c r="E47"/>
      <c r="F47" s="12"/>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2.75">
      <c r="A48"/>
      <c r="B48"/>
      <c r="C48" t="s">
        <v>233</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17" ht="12.75">
      <c r="A49"/>
      <c r="B49"/>
      <c r="C49" t="s">
        <v>234</v>
      </c>
      <c r="D49"/>
      <c r="E49"/>
      <c r="F49"/>
      <c r="G49"/>
      <c r="H49"/>
      <c r="I49"/>
      <c r="J49"/>
      <c r="K49"/>
      <c r="L49" s="22"/>
      <c r="M49"/>
      <c r="N49"/>
      <c r="O49"/>
      <c r="P49"/>
      <c r="Q49"/>
    </row>
    <row r="50" spans="1:17" ht="12.75">
      <c r="A50"/>
      <c r="B50"/>
      <c r="C50" t="s">
        <v>279</v>
      </c>
      <c r="D50"/>
      <c r="E50"/>
      <c r="F50"/>
      <c r="G50"/>
      <c r="H50"/>
      <c r="I50"/>
      <c r="J50"/>
      <c r="K50"/>
      <c r="L50"/>
      <c r="M50"/>
      <c r="N50"/>
      <c r="O50"/>
      <c r="P50"/>
      <c r="Q50"/>
    </row>
    <row r="51" spans="1:17" ht="12.75">
      <c r="A51"/>
      <c r="B51"/>
      <c r="C51" t="s">
        <v>280</v>
      </c>
      <c r="D51"/>
      <c r="E51"/>
      <c r="F51"/>
      <c r="G51"/>
      <c r="H51"/>
      <c r="I51"/>
      <c r="J51"/>
      <c r="K51"/>
      <c r="L51"/>
      <c r="M51"/>
      <c r="N51"/>
      <c r="O51"/>
      <c r="P51"/>
      <c r="Q51"/>
    </row>
    <row r="52" spans="1:17" ht="12.75">
      <c r="A52"/>
      <c r="B52"/>
      <c r="C52" t="s">
        <v>235</v>
      </c>
      <c r="D52"/>
      <c r="E52"/>
      <c r="F52"/>
      <c r="G52"/>
      <c r="H52"/>
      <c r="I52"/>
      <c r="J52"/>
      <c r="K52"/>
      <c r="L52"/>
      <c r="M52"/>
      <c r="N52"/>
      <c r="O52"/>
      <c r="P52"/>
      <c r="Q52"/>
    </row>
    <row r="53" spans="1:17" ht="12.75">
      <c r="A53"/>
      <c r="B53"/>
      <c r="C53" t="s">
        <v>236</v>
      </c>
      <c r="D53"/>
      <c r="E53"/>
      <c r="F53"/>
      <c r="G53"/>
      <c r="H53"/>
      <c r="I53"/>
      <c r="J53"/>
      <c r="K53"/>
      <c r="L53"/>
      <c r="M53"/>
      <c r="N53"/>
      <c r="O53"/>
      <c r="P53"/>
      <c r="Q53"/>
    </row>
    <row r="54" spans="1:17" ht="12.75">
      <c r="A54"/>
      <c r="B54"/>
      <c r="C54"/>
      <c r="D54"/>
      <c r="E54" s="36"/>
      <c r="F54" s="36"/>
      <c r="G54"/>
      <c r="H54"/>
      <c r="I54"/>
      <c r="J54"/>
      <c r="K54"/>
      <c r="L54"/>
      <c r="M54"/>
      <c r="N54"/>
      <c r="O54"/>
      <c r="P54"/>
      <c r="Q54"/>
    </row>
    <row r="55" spans="1:255" ht="12.75">
      <c r="A55"/>
      <c r="B55"/>
      <c r="C55" s="35" t="s">
        <v>221</v>
      </c>
      <c r="D55"/>
      <c r="E55" s="36"/>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ht="12.75">
      <c r="A56"/>
      <c r="B56"/>
      <c r="C56" s="35"/>
      <c r="D56"/>
      <c r="E56" s="36"/>
      <c r="F56" s="3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ht="12.75">
      <c r="A57" s="36" t="s">
        <v>2</v>
      </c>
      <c r="B57" s="36" t="s">
        <v>222</v>
      </c>
      <c r="C57" s="35" t="s">
        <v>237</v>
      </c>
      <c r="D57"/>
      <c r="E57">
        <v>6</v>
      </c>
      <c r="F57" s="12">
        <v>2</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4" ht="12.75">
      <c r="A58"/>
      <c r="B58"/>
      <c r="C58" s="35" t="s">
        <v>224</v>
      </c>
      <c r="D58"/>
      <c r="E58" s="38" t="s">
        <v>51</v>
      </c>
      <c r="F58" s="38" t="s">
        <v>276</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row>
    <row r="59" spans="1:17" ht="12.75">
      <c r="A59" s="18">
        <f>A46-A46</f>
        <v>0</v>
      </c>
      <c r="B59" s="18">
        <f>0.3048*2079</f>
        <v>633.6792</v>
      </c>
      <c r="C59" t="s">
        <v>231</v>
      </c>
      <c r="D59" t="s">
        <v>241</v>
      </c>
      <c r="E59" s="40">
        <v>0.375</v>
      </c>
      <c r="F59" s="39">
        <v>0.3958333333333333</v>
      </c>
      <c r="G59"/>
      <c r="H59"/>
      <c r="I59"/>
      <c r="J59"/>
      <c r="K59"/>
      <c r="L59"/>
      <c r="M59"/>
      <c r="N59"/>
      <c r="O59"/>
      <c r="P59"/>
      <c r="Q59"/>
    </row>
    <row r="60" spans="1:17" ht="12.75">
      <c r="A60" s="34">
        <f>A46-A45</f>
        <v>69.20000000000002</v>
      </c>
      <c r="B60" s="18">
        <f>0.3048*2164</f>
        <v>659.5872</v>
      </c>
      <c r="C60" t="s">
        <v>116</v>
      </c>
      <c r="D60" t="s">
        <v>246</v>
      </c>
      <c r="E60" s="40">
        <v>0.44166666666666665</v>
      </c>
      <c r="F60" s="39">
        <v>0.46875</v>
      </c>
      <c r="G60"/>
      <c r="H60"/>
      <c r="I60"/>
      <c r="J60"/>
      <c r="K60"/>
      <c r="L60"/>
      <c r="M60"/>
      <c r="N60"/>
      <c r="O60"/>
      <c r="P60"/>
      <c r="Q60"/>
    </row>
    <row r="61" spans="1:17" ht="12.75">
      <c r="A61" s="34">
        <f>A46-A44</f>
        <v>69.20000000000002</v>
      </c>
      <c r="B61" s="18">
        <f>0.3048*2164</f>
        <v>659.5872</v>
      </c>
      <c r="C61" t="s">
        <v>278</v>
      </c>
      <c r="D61" t="s">
        <v>241</v>
      </c>
      <c r="E61" s="40">
        <v>0.4486111111111111</v>
      </c>
      <c r="F61" s="40">
        <v>0.4826388888888889</v>
      </c>
      <c r="G61"/>
      <c r="H61"/>
      <c r="I61"/>
      <c r="J61"/>
      <c r="K61"/>
      <c r="L61"/>
      <c r="M61"/>
      <c r="N61"/>
      <c r="O61"/>
      <c r="P61"/>
      <c r="Q61"/>
    </row>
    <row r="62" spans="1:254" ht="12.75">
      <c r="A62" s="34">
        <f>A46-A43</f>
        <v>112.50000000000001</v>
      </c>
      <c r="B62" s="18">
        <f>0.3048*2158</f>
        <v>657.7584</v>
      </c>
      <c r="C62" t="s">
        <v>277</v>
      </c>
      <c r="D62" t="s">
        <v>246</v>
      </c>
      <c r="E62" s="40">
        <v>0.4965277777777778</v>
      </c>
      <c r="F62" s="40">
        <v>0.53125</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17" ht="12.75">
      <c r="A63" s="34">
        <f>A46-A42</f>
        <v>112.50000000000001</v>
      </c>
      <c r="B63" s="18">
        <f>0.3048*2158</f>
        <v>657.7584</v>
      </c>
      <c r="C63" t="s">
        <v>230</v>
      </c>
      <c r="D63" t="s">
        <v>241</v>
      </c>
      <c r="E63" s="40">
        <v>0.5173611111111112</v>
      </c>
      <c r="F63" s="40">
        <v>0.5625</v>
      </c>
      <c r="G63"/>
      <c r="H63"/>
      <c r="I63"/>
      <c r="J63"/>
      <c r="K63"/>
      <c r="L63"/>
      <c r="M63"/>
      <c r="N63"/>
      <c r="O63"/>
      <c r="P63"/>
      <c r="Q63"/>
    </row>
    <row r="64" spans="1:17" ht="12.75">
      <c r="A64" s="34">
        <f>A46-A41</f>
        <v>124.70000000000002</v>
      </c>
      <c r="B64" s="18">
        <f>0.3048*2916</f>
        <v>888.7968000000001</v>
      </c>
      <c r="C64" t="s">
        <v>229</v>
      </c>
      <c r="D64"/>
      <c r="E64" s="40">
        <v>0.5347222222222222</v>
      </c>
      <c r="F64" s="40">
        <v>0.5798611111111112</v>
      </c>
      <c r="G64"/>
      <c r="H64"/>
      <c r="I64"/>
      <c r="J64"/>
      <c r="K64"/>
      <c r="L64"/>
      <c r="M64"/>
      <c r="N64"/>
      <c r="O64"/>
      <c r="P64"/>
      <c r="Q64"/>
    </row>
    <row r="65" spans="1:17" ht="12.75">
      <c r="A65" s="34">
        <f>A46-A40</f>
        <v>145</v>
      </c>
      <c r="B65" s="18">
        <f>0.3048*2885</f>
        <v>879.3480000000001</v>
      </c>
      <c r="C65" t="s">
        <v>228</v>
      </c>
      <c r="D65"/>
      <c r="E65" s="40">
        <v>0.5590277777777778</v>
      </c>
      <c r="F65" s="40">
        <v>0.6111111111111112</v>
      </c>
      <c r="G65"/>
      <c r="H65"/>
      <c r="I65"/>
      <c r="J65"/>
      <c r="K65"/>
      <c r="L65"/>
      <c r="M65"/>
      <c r="N65"/>
      <c r="O65"/>
      <c r="P65"/>
      <c r="Q65"/>
    </row>
    <row r="66" spans="1:17" ht="12.75">
      <c r="A66" s="34">
        <f>A46-A39</f>
        <v>174.10000000000002</v>
      </c>
      <c r="B66" s="18">
        <v>0</v>
      </c>
      <c r="C66" t="s">
        <v>227</v>
      </c>
      <c r="D66" t="s">
        <v>246</v>
      </c>
      <c r="E66" s="39">
        <v>0.6284722222222222</v>
      </c>
      <c r="F66" s="39">
        <v>0.6736111111111112</v>
      </c>
      <c r="G66"/>
      <c r="H66"/>
      <c r="I66"/>
      <c r="J66"/>
      <c r="K66"/>
      <c r="L66"/>
      <c r="M66"/>
      <c r="N66"/>
      <c r="O66"/>
      <c r="P66"/>
      <c r="Q66"/>
    </row>
    <row r="67" spans="1:17" ht="12.75">
      <c r="A67" s="34">
        <f>A46-A38</f>
        <v>176.83</v>
      </c>
      <c r="B67" s="18">
        <v>0</v>
      </c>
      <c r="C67" t="s">
        <v>225</v>
      </c>
      <c r="D67" t="s">
        <v>246</v>
      </c>
      <c r="E67" s="40"/>
      <c r="F67"/>
      <c r="G67"/>
      <c r="H67"/>
      <c r="I67"/>
      <c r="J67"/>
      <c r="K67"/>
      <c r="L67"/>
      <c r="M67"/>
      <c r="N67"/>
      <c r="O67"/>
      <c r="P67"/>
      <c r="Q67"/>
    </row>
    <row r="68" spans="1:17" ht="12.75">
      <c r="A68"/>
      <c r="B68"/>
      <c r="C68" t="s">
        <v>239</v>
      </c>
      <c r="D68"/>
      <c r="E68" s="12"/>
      <c r="F68"/>
      <c r="G68"/>
      <c r="H68"/>
      <c r="I68"/>
      <c r="J68"/>
      <c r="K68"/>
      <c r="L68"/>
      <c r="M68"/>
      <c r="N68"/>
      <c r="O68"/>
      <c r="P68"/>
      <c r="Q68"/>
    </row>
    <row r="69" spans="1:17" ht="12.75">
      <c r="A69"/>
      <c r="B69"/>
      <c r="C69" t="s">
        <v>233</v>
      </c>
      <c r="D69"/>
      <c r="E69"/>
      <c r="F69"/>
      <c r="G69"/>
      <c r="H69"/>
      <c r="I69"/>
      <c r="J69"/>
      <c r="K69"/>
      <c r="L69"/>
      <c r="M69"/>
      <c r="N69"/>
      <c r="O69"/>
      <c r="P69"/>
      <c r="Q69"/>
    </row>
    <row r="70" spans="1:17" ht="12.75">
      <c r="A70"/>
      <c r="B70"/>
      <c r="C70" t="s">
        <v>234</v>
      </c>
      <c r="D70"/>
      <c r="E70"/>
      <c r="F70"/>
      <c r="G70"/>
      <c r="H70"/>
      <c r="I70"/>
      <c r="J70"/>
      <c r="K70"/>
      <c r="L70"/>
      <c r="M70"/>
      <c r="N70"/>
      <c r="O70"/>
      <c r="P70"/>
      <c r="Q70"/>
    </row>
    <row r="71" spans="1:17" ht="12.75">
      <c r="A71"/>
      <c r="B71"/>
      <c r="C71" t="s">
        <v>279</v>
      </c>
      <c r="D71"/>
      <c r="E71"/>
      <c r="F71"/>
      <c r="G71"/>
      <c r="H71"/>
      <c r="I71"/>
      <c r="J71"/>
      <c r="K71"/>
      <c r="L71"/>
      <c r="M71"/>
      <c r="N71"/>
      <c r="O71"/>
      <c r="P71"/>
      <c r="Q71"/>
    </row>
    <row r="72" spans="1:17" ht="12.75">
      <c r="A72"/>
      <c r="B72"/>
      <c r="C72" t="s">
        <v>280</v>
      </c>
      <c r="D72"/>
      <c r="E72"/>
      <c r="F72"/>
      <c r="G72"/>
      <c r="H72"/>
      <c r="I72"/>
      <c r="J72"/>
      <c r="K72"/>
      <c r="L72"/>
      <c r="M72"/>
      <c r="N72"/>
      <c r="O72"/>
      <c r="P72"/>
      <c r="Q72"/>
    </row>
    <row r="73" spans="1:17" ht="12.75">
      <c r="A73"/>
      <c r="B73"/>
      <c r="C73" t="s">
        <v>235</v>
      </c>
      <c r="D73"/>
      <c r="E73"/>
      <c r="F73"/>
      <c r="G73"/>
      <c r="H73"/>
      <c r="I73"/>
      <c r="J73"/>
      <c r="K73"/>
      <c r="L73"/>
      <c r="M73"/>
      <c r="N73"/>
      <c r="O73"/>
      <c r="P73"/>
      <c r="Q73"/>
    </row>
    <row r="74" spans="1:17" ht="12.75">
      <c r="A74"/>
      <c r="B74"/>
      <c r="C74" t="s">
        <v>236</v>
      </c>
      <c r="D74"/>
      <c r="E74"/>
      <c r="F74"/>
      <c r="G74"/>
      <c r="H74"/>
      <c r="I74"/>
      <c r="J74"/>
      <c r="K74"/>
      <c r="L74"/>
      <c r="M74"/>
      <c r="N74"/>
      <c r="O74"/>
      <c r="P74"/>
      <c r="Q74"/>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7.xml><?xml version="1.0" encoding="utf-8"?>
<worksheet xmlns="http://schemas.openxmlformats.org/spreadsheetml/2006/main" xmlns:r="http://schemas.openxmlformats.org/officeDocument/2006/relationships">
  <dimension ref="A1:IU147"/>
  <sheetViews>
    <sheetView zoomScale="80" zoomScaleNormal="80" workbookViewId="0" topLeftCell="A1">
      <selection activeCell="A1" sqref="A1"/>
    </sheetView>
  </sheetViews>
  <sheetFormatPr defaultColWidth="12.57421875" defaultRowHeight="12.75"/>
  <cols>
    <col min="1" max="1" width="5.57421875" style="16" customWidth="1"/>
    <col min="2" max="2" width="7.421875" style="16" customWidth="1"/>
    <col min="3" max="3" width="17.00390625" style="16" customWidth="1"/>
    <col min="4" max="4" width="2.140625" style="16" customWidth="1"/>
    <col min="5" max="255" width="11.57421875" style="16" customWidth="1"/>
    <col min="256" max="16384" width="11.57421875" style="0" customWidth="1"/>
  </cols>
  <sheetData>
    <row r="1" spans="1:22" ht="12.75">
      <c r="A1" s="3">
        <v>1953</v>
      </c>
      <c r="B1"/>
      <c r="C1" s="3" t="s">
        <v>34</v>
      </c>
      <c r="D1" s="19"/>
      <c r="E1"/>
      <c r="F1"/>
      <c r="G1"/>
      <c r="H1"/>
      <c r="I1"/>
      <c r="J1"/>
      <c r="K1"/>
      <c r="L1"/>
      <c r="M1"/>
      <c r="N1"/>
      <c r="O1"/>
      <c r="P1"/>
      <c r="Q1"/>
      <c r="R1"/>
      <c r="S1"/>
      <c r="T1"/>
      <c r="U1"/>
      <c r="V1"/>
    </row>
    <row r="2" spans="1:17" ht="12.75">
      <c r="A2" t="s">
        <v>2</v>
      </c>
      <c r="B2" s="36" t="s">
        <v>222</v>
      </c>
      <c r="C2" s="42" t="s">
        <v>223</v>
      </c>
      <c r="D2" s="19"/>
      <c r="E2" s="41" t="s">
        <v>57</v>
      </c>
      <c r="F2" s="11"/>
      <c r="G2"/>
      <c r="H2"/>
      <c r="I2"/>
      <c r="J2"/>
      <c r="K2"/>
      <c r="L2"/>
      <c r="M2"/>
      <c r="N2"/>
      <c r="O2"/>
      <c r="P2"/>
      <c r="Q2"/>
    </row>
    <row r="3" spans="1:17" ht="12.75">
      <c r="A3"/>
      <c r="B3"/>
      <c r="C3" s="35"/>
      <c r="D3" s="19"/>
      <c r="E3" s="43" t="s">
        <v>58</v>
      </c>
      <c r="F3" s="23" t="s">
        <v>22</v>
      </c>
      <c r="G3" s="23" t="s">
        <v>22</v>
      </c>
      <c r="H3"/>
      <c r="I3"/>
      <c r="J3"/>
      <c r="K3"/>
      <c r="L3" s="56"/>
      <c r="M3"/>
      <c r="N3"/>
      <c r="O3"/>
      <c r="P3"/>
      <c r="Q3"/>
    </row>
    <row r="4" spans="1:17" ht="12.75">
      <c r="A4">
        <v>0</v>
      </c>
      <c r="B4" s="17">
        <f>B30</f>
        <v>6.4008</v>
      </c>
      <c r="C4" s="19" t="s">
        <v>281</v>
      </c>
      <c r="D4" s="19" t="s">
        <v>241</v>
      </c>
      <c r="E4"/>
      <c r="F4"/>
      <c r="G4" s="39">
        <v>0.625</v>
      </c>
      <c r="H4"/>
      <c r="I4"/>
      <c r="J4"/>
      <c r="K4"/>
      <c r="L4"/>
      <c r="M4"/>
      <c r="N4"/>
      <c r="O4"/>
      <c r="P4"/>
      <c r="Q4"/>
    </row>
    <row r="5" spans="1:17" ht="12.75">
      <c r="A5">
        <v>19</v>
      </c>
      <c r="B5" s="17">
        <f>B29</f>
        <v>10.0584</v>
      </c>
      <c r="C5" s="19" t="s">
        <v>270</v>
      </c>
      <c r="D5" s="19"/>
      <c r="E5"/>
      <c r="F5"/>
      <c r="G5" s="39">
        <v>0.6458333333333334</v>
      </c>
      <c r="H5"/>
      <c r="I5"/>
      <c r="J5"/>
      <c r="K5"/>
      <c r="L5"/>
      <c r="M5"/>
      <c r="N5"/>
      <c r="O5"/>
      <c r="P5" s="22"/>
      <c r="Q5"/>
    </row>
    <row r="6" spans="1:17" ht="12.75">
      <c r="A6" t="s">
        <v>282</v>
      </c>
      <c r="B6" s="17">
        <f>0.3048*38</f>
        <v>11.5824</v>
      </c>
      <c r="C6" s="19" t="s">
        <v>245</v>
      </c>
      <c r="D6" s="19"/>
      <c r="E6" s="39">
        <v>0.3541666666666667</v>
      </c>
      <c r="F6" s="39">
        <v>0.3541666666666667</v>
      </c>
      <c r="G6" s="39">
        <v>0.7118055555555556</v>
      </c>
      <c r="H6"/>
      <c r="I6"/>
      <c r="J6"/>
      <c r="K6"/>
      <c r="L6"/>
      <c r="M6"/>
      <c r="N6"/>
      <c r="O6"/>
      <c r="P6" s="22"/>
      <c r="Q6"/>
    </row>
    <row r="7" spans="1:22" ht="12.75">
      <c r="A7">
        <v>59</v>
      </c>
      <c r="B7" s="17">
        <f>0.3048*36</f>
        <v>10.972800000000001</v>
      </c>
      <c r="C7" s="19" t="s">
        <v>247</v>
      </c>
      <c r="D7" s="19"/>
      <c r="E7" s="36" t="s">
        <v>251</v>
      </c>
      <c r="F7" s="39">
        <v>0.4583333333333333</v>
      </c>
      <c r="G7"/>
      <c r="H7"/>
      <c r="I7"/>
      <c r="J7"/>
      <c r="K7"/>
      <c r="L7"/>
      <c r="M7"/>
      <c r="N7"/>
      <c r="O7"/>
      <c r="P7"/>
      <c r="Q7"/>
      <c r="R7"/>
      <c r="S7"/>
      <c r="T7"/>
      <c r="U7"/>
      <c r="V7"/>
    </row>
    <row r="8" spans="1:22" ht="12.75">
      <c r="A8">
        <v>69</v>
      </c>
      <c r="B8"/>
      <c r="C8" s="19" t="s">
        <v>272</v>
      </c>
      <c r="D8" s="19"/>
      <c r="E8" s="36" t="s">
        <v>251</v>
      </c>
      <c r="F8" s="39">
        <v>0.4798611111111111</v>
      </c>
      <c r="G8"/>
      <c r="H8"/>
      <c r="I8"/>
      <c r="J8"/>
      <c r="K8"/>
      <c r="L8"/>
      <c r="M8"/>
      <c r="N8"/>
      <c r="O8"/>
      <c r="P8"/>
      <c r="Q8"/>
      <c r="R8"/>
      <c r="S8"/>
      <c r="T8"/>
      <c r="U8"/>
      <c r="V8"/>
    </row>
    <row r="9" spans="1:22" ht="12.75">
      <c r="A9">
        <v>80</v>
      </c>
      <c r="B9"/>
      <c r="C9" s="19" t="s">
        <v>273</v>
      </c>
      <c r="D9" s="19"/>
      <c r="E9" s="36" t="s">
        <v>251</v>
      </c>
      <c r="F9" s="39">
        <v>0.5034722222222222</v>
      </c>
      <c r="G9"/>
      <c r="H9"/>
      <c r="I9"/>
      <c r="J9"/>
      <c r="K9"/>
      <c r="L9"/>
      <c r="M9"/>
      <c r="N9"/>
      <c r="O9"/>
      <c r="P9"/>
      <c r="Q9"/>
      <c r="R9"/>
      <c r="S9"/>
      <c r="T9"/>
      <c r="U9"/>
      <c r="V9"/>
    </row>
    <row r="10" spans="1:22" ht="12.75">
      <c r="A10">
        <v>89</v>
      </c>
      <c r="B10"/>
      <c r="C10" s="19" t="s">
        <v>274</v>
      </c>
      <c r="D10" s="19" t="s">
        <v>246</v>
      </c>
      <c r="E10" s="36" t="s">
        <v>251</v>
      </c>
      <c r="F10" s="39">
        <v>0.5173611111111112</v>
      </c>
      <c r="G10"/>
      <c r="H10"/>
      <c r="I10"/>
      <c r="J10"/>
      <c r="K10"/>
      <c r="L10"/>
      <c r="M10"/>
      <c r="N10"/>
      <c r="O10"/>
      <c r="P10"/>
      <c r="Q10"/>
      <c r="R10"/>
      <c r="S10"/>
      <c r="T10"/>
      <c r="U10"/>
      <c r="V10"/>
    </row>
    <row r="11" spans="1:22" ht="12.75">
      <c r="A11">
        <v>216</v>
      </c>
      <c r="B11" s="17">
        <f>0.3048*546</f>
        <v>166.4208</v>
      </c>
      <c r="C11" s="19" t="s">
        <v>250</v>
      </c>
      <c r="D11" s="19" t="s">
        <v>241</v>
      </c>
      <c r="E11" s="39">
        <v>0.5347222222222222</v>
      </c>
      <c r="F11"/>
      <c r="G11"/>
      <c r="H11"/>
      <c r="I11"/>
      <c r="J11"/>
      <c r="K11"/>
      <c r="L11"/>
      <c r="M11"/>
      <c r="N11"/>
      <c r="O11"/>
      <c r="P11"/>
      <c r="Q11"/>
      <c r="R11"/>
      <c r="S11"/>
      <c r="T11"/>
      <c r="U11"/>
      <c r="V11"/>
    </row>
    <row r="12" spans="1:22" ht="12.75">
      <c r="A12">
        <v>376</v>
      </c>
      <c r="B12" s="17">
        <f>0.3048*1732</f>
        <v>527.9136</v>
      </c>
      <c r="C12" s="15" t="s">
        <v>255</v>
      </c>
      <c r="D12" s="19"/>
      <c r="E12" s="39">
        <v>0.6916666666666667</v>
      </c>
      <c r="F12"/>
      <c r="G12"/>
      <c r="H12"/>
      <c r="I12"/>
      <c r="J12"/>
      <c r="K12"/>
      <c r="L12"/>
      <c r="M12"/>
      <c r="N12"/>
      <c r="O12"/>
      <c r="P12"/>
      <c r="Q12"/>
      <c r="R12"/>
      <c r="S12"/>
      <c r="T12"/>
      <c r="U12"/>
      <c r="V12"/>
    </row>
    <row r="13" spans="1:22" ht="12.75">
      <c r="A13">
        <v>393</v>
      </c>
      <c r="B13" s="17">
        <f>0.3048*1368</f>
        <v>416.9664</v>
      </c>
      <c r="C13" s="19" t="s">
        <v>256</v>
      </c>
      <c r="D13" s="19"/>
      <c r="E13" s="39">
        <v>0.7256944444444444</v>
      </c>
      <c r="F13"/>
      <c r="G13"/>
      <c r="H13"/>
      <c r="I13"/>
      <c r="J13"/>
      <c r="K13"/>
      <c r="L13"/>
      <c r="M13"/>
      <c r="N13"/>
      <c r="O13"/>
      <c r="P13"/>
      <c r="Q13"/>
      <c r="R13"/>
      <c r="S13"/>
      <c r="T13"/>
      <c r="U13"/>
      <c r="V13"/>
    </row>
    <row r="14" spans="1:22" ht="12.75">
      <c r="A14">
        <v>479</v>
      </c>
      <c r="B14" s="17">
        <f>0.3048*362</f>
        <v>110.33760000000001</v>
      </c>
      <c r="C14" s="19" t="s">
        <v>257</v>
      </c>
      <c r="D14" s="19"/>
      <c r="E14" s="39">
        <v>0.7840277777777778</v>
      </c>
      <c r="F14"/>
      <c r="G14"/>
      <c r="H14"/>
      <c r="I14"/>
      <c r="J14"/>
      <c r="K14"/>
      <c r="L14"/>
      <c r="M14"/>
      <c r="N14"/>
      <c r="O14"/>
      <c r="P14"/>
      <c r="Q14"/>
      <c r="R14"/>
      <c r="S14"/>
      <c r="T14"/>
      <c r="U14"/>
      <c r="V14"/>
    </row>
    <row r="15" spans="1:22" ht="12.75">
      <c r="A15">
        <v>573</v>
      </c>
      <c r="B15" s="17">
        <f>0.3048*448</f>
        <v>136.5504</v>
      </c>
      <c r="C15" s="19" t="s">
        <v>258</v>
      </c>
      <c r="D15" s="19" t="s">
        <v>246</v>
      </c>
      <c r="E15" s="39">
        <v>0.8541666666666666</v>
      </c>
      <c r="F15"/>
      <c r="G15"/>
      <c r="H15"/>
      <c r="I15"/>
      <c r="J15"/>
      <c r="K15"/>
      <c r="L15"/>
      <c r="M15"/>
      <c r="N15"/>
      <c r="O15"/>
      <c r="P15"/>
      <c r="Q15"/>
      <c r="R15"/>
      <c r="S15"/>
      <c r="T15"/>
      <c r="U15"/>
      <c r="V15"/>
    </row>
    <row r="16" spans="1:22" ht="12.75">
      <c r="A16"/>
      <c r="B16"/>
      <c r="C16"/>
      <c r="D16"/>
      <c r="E16"/>
      <c r="F16"/>
      <c r="G16"/>
      <c r="H16"/>
      <c r="I16"/>
      <c r="J16"/>
      <c r="K16"/>
      <c r="L16"/>
      <c r="M16"/>
      <c r="N16"/>
      <c r="O16"/>
      <c r="P16"/>
      <c r="Q16"/>
      <c r="R16"/>
      <c r="S16"/>
      <c r="T16"/>
      <c r="U16"/>
      <c r="V16"/>
    </row>
    <row r="17" spans="1:22" ht="12.75">
      <c r="A17" t="s">
        <v>2</v>
      </c>
      <c r="B17" s="36" t="s">
        <v>222</v>
      </c>
      <c r="C17" s="42" t="s">
        <v>237</v>
      </c>
      <c r="D17" s="19"/>
      <c r="E17" s="57"/>
      <c r="F17"/>
      <c r="G17" s="41" t="s">
        <v>57</v>
      </c>
      <c r="H17"/>
      <c r="I17"/>
      <c r="J17"/>
      <c r="K17"/>
      <c r="L17"/>
      <c r="M17"/>
      <c r="N17"/>
      <c r="O17"/>
      <c r="P17"/>
      <c r="Q17"/>
      <c r="R17"/>
      <c r="S17"/>
      <c r="T17"/>
      <c r="U17"/>
      <c r="V17"/>
    </row>
    <row r="18" spans="1:22" ht="12.75">
      <c r="A18"/>
      <c r="B18"/>
      <c r="C18" s="35"/>
      <c r="D18" s="19"/>
      <c r="E18" s="23" t="s">
        <v>22</v>
      </c>
      <c r="F18" s="23" t="s">
        <v>22</v>
      </c>
      <c r="G18" s="43" t="s">
        <v>58</v>
      </c>
      <c r="H18"/>
      <c r="I18"/>
      <c r="J18"/>
      <c r="K18"/>
      <c r="L18"/>
      <c r="M18"/>
      <c r="N18"/>
      <c r="O18"/>
      <c r="P18"/>
      <c r="Q18"/>
      <c r="R18"/>
      <c r="S18"/>
      <c r="T18"/>
      <c r="U18"/>
      <c r="V18"/>
    </row>
    <row r="19" spans="1:22" ht="12.75">
      <c r="A19">
        <v>0</v>
      </c>
      <c r="B19" s="17">
        <f>B15-B15</f>
        <v>0</v>
      </c>
      <c r="C19" s="19" t="s">
        <v>258</v>
      </c>
      <c r="D19" s="19" t="s">
        <v>241</v>
      </c>
      <c r="E19"/>
      <c r="F19"/>
      <c r="G19" s="39">
        <v>0.3541666666666667</v>
      </c>
      <c r="H19"/>
      <c r="I19"/>
      <c r="J19"/>
      <c r="K19"/>
      <c r="L19"/>
      <c r="M19"/>
      <c r="N19"/>
      <c r="O19"/>
      <c r="P19"/>
      <c r="Q19"/>
      <c r="R19"/>
      <c r="S19"/>
      <c r="T19"/>
      <c r="U19"/>
      <c r="V19"/>
    </row>
    <row r="20" spans="1:22" ht="12.75">
      <c r="A20">
        <v>94</v>
      </c>
      <c r="B20" s="17">
        <f>B14</f>
        <v>110.33760000000001</v>
      </c>
      <c r="C20" s="19" t="s">
        <v>257</v>
      </c>
      <c r="D20" s="19"/>
      <c r="E20"/>
      <c r="F20"/>
      <c r="G20" s="39">
        <v>0.42083333333333334</v>
      </c>
      <c r="H20"/>
      <c r="I20"/>
      <c r="J20"/>
      <c r="K20"/>
      <c r="L20"/>
      <c r="M20"/>
      <c r="N20"/>
      <c r="O20"/>
      <c r="P20"/>
      <c r="Q20"/>
      <c r="R20"/>
      <c r="S20"/>
      <c r="T20"/>
      <c r="U20"/>
      <c r="V20"/>
    </row>
    <row r="21" spans="1:22" ht="12.75">
      <c r="A21">
        <v>180</v>
      </c>
      <c r="B21" s="17">
        <f>B13</f>
        <v>416.9664</v>
      </c>
      <c r="C21" s="19" t="s">
        <v>256</v>
      </c>
      <c r="D21" s="19"/>
      <c r="E21"/>
      <c r="F21"/>
      <c r="G21" s="39">
        <v>0.4895833333333333</v>
      </c>
      <c r="H21"/>
      <c r="I21"/>
      <c r="J21"/>
      <c r="K21"/>
      <c r="L21"/>
      <c r="M21"/>
      <c r="N21"/>
      <c r="O21"/>
      <c r="P21"/>
      <c r="Q21"/>
      <c r="R21"/>
      <c r="S21"/>
      <c r="T21"/>
      <c r="U21"/>
      <c r="V21"/>
    </row>
    <row r="22" spans="1:22" ht="12.75">
      <c r="A22">
        <v>197</v>
      </c>
      <c r="B22" s="17">
        <f>B12</f>
        <v>527.9136</v>
      </c>
      <c r="C22" s="39" t="s">
        <v>255</v>
      </c>
      <c r="D22" s="19"/>
      <c r="E22"/>
      <c r="F22"/>
      <c r="G22" s="39">
        <v>0.5180555555555556</v>
      </c>
      <c r="H22"/>
      <c r="I22"/>
      <c r="J22"/>
      <c r="K22"/>
      <c r="L22"/>
      <c r="M22"/>
      <c r="N22"/>
      <c r="O22"/>
      <c r="P22"/>
      <c r="Q22"/>
      <c r="R22"/>
      <c r="S22"/>
      <c r="T22"/>
      <c r="U22"/>
      <c r="V22"/>
    </row>
    <row r="23" spans="1:254" ht="12.75">
      <c r="A23">
        <v>357</v>
      </c>
      <c r="B23" s="17">
        <f>B11</f>
        <v>166.4208</v>
      </c>
      <c r="C23" s="19" t="s">
        <v>250</v>
      </c>
      <c r="D23" s="47"/>
      <c r="E23"/>
      <c r="F23"/>
      <c r="G23" s="39">
        <v>0.6736111111111112</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5" ht="12.75">
      <c r="A24" s="36" t="s">
        <v>251</v>
      </c>
      <c r="B24"/>
      <c r="C24" t="s">
        <v>274</v>
      </c>
      <c r="D24"/>
      <c r="E24"/>
      <c r="F24" s="39">
        <v>0.6041666666666666</v>
      </c>
      <c r="G24" s="36" t="s">
        <v>251</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 r="A25" s="36" t="s">
        <v>251</v>
      </c>
      <c r="B25"/>
      <c r="C25" t="s">
        <v>273</v>
      </c>
      <c r="D25"/>
      <c r="E25"/>
      <c r="F25" s="39">
        <v>0.6145833333333334</v>
      </c>
      <c r="G25" s="36" t="s">
        <v>251</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 r="A26" s="36" t="s">
        <v>251</v>
      </c>
      <c r="B26"/>
      <c r="C26" t="s">
        <v>272</v>
      </c>
      <c r="D26"/>
      <c r="E26"/>
      <c r="F26" s="39">
        <v>0.6354166666666666</v>
      </c>
      <c r="G26" s="36" t="s">
        <v>251</v>
      </c>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2" ht="12.75">
      <c r="A27">
        <v>420</v>
      </c>
      <c r="B27" s="17">
        <f>B7</f>
        <v>10.972800000000001</v>
      </c>
      <c r="C27" s="16" t="s">
        <v>247</v>
      </c>
      <c r="D27" s="19"/>
      <c r="E27"/>
      <c r="F27" s="39">
        <v>0.6597222222222222</v>
      </c>
      <c r="G27" s="36" t="s">
        <v>251</v>
      </c>
      <c r="H27"/>
      <c r="I27"/>
      <c r="J27"/>
      <c r="K27"/>
      <c r="L27"/>
      <c r="M27"/>
      <c r="N27"/>
      <c r="O27"/>
      <c r="P27"/>
      <c r="Q27"/>
      <c r="R27"/>
      <c r="S27"/>
      <c r="T27"/>
      <c r="U27"/>
      <c r="V27"/>
    </row>
    <row r="28" spans="1:22" ht="12.75">
      <c r="A28" t="s">
        <v>275</v>
      </c>
      <c r="B28" s="17">
        <f>B6</f>
        <v>11.5824</v>
      </c>
      <c r="C28" s="19" t="s">
        <v>245</v>
      </c>
      <c r="D28" s="19"/>
      <c r="E28" s="39">
        <v>0.3888888888888889</v>
      </c>
      <c r="F28" s="39">
        <v>0.7291666666666666</v>
      </c>
      <c r="G28" s="39">
        <v>0.84375</v>
      </c>
      <c r="H28"/>
      <c r="I28"/>
      <c r="J28"/>
      <c r="K28"/>
      <c r="L28"/>
      <c r="M28"/>
      <c r="N28"/>
      <c r="O28"/>
      <c r="P28"/>
      <c r="Q28"/>
      <c r="R28"/>
      <c r="S28"/>
      <c r="T28"/>
      <c r="U28"/>
      <c r="V28"/>
    </row>
    <row r="29" spans="1:17" ht="12.75">
      <c r="A29">
        <v>81</v>
      </c>
      <c r="B29" s="17">
        <f>0.3048*33</f>
        <v>10.0584</v>
      </c>
      <c r="C29" s="19" t="s">
        <v>270</v>
      </c>
      <c r="D29" s="19"/>
      <c r="E29" s="39">
        <v>0.4618055555555556</v>
      </c>
      <c r="F29"/>
      <c r="G29"/>
      <c r="H29"/>
      <c r="I29"/>
      <c r="J29"/>
      <c r="K29"/>
      <c r="L29"/>
      <c r="M29"/>
      <c r="N29"/>
      <c r="O29"/>
      <c r="P29"/>
      <c r="Q29"/>
    </row>
    <row r="30" spans="1:17" ht="12.75">
      <c r="A30">
        <v>100</v>
      </c>
      <c r="B30" s="17">
        <f>0.3048*21</f>
        <v>6.4008</v>
      </c>
      <c r="C30" s="19" t="s">
        <v>281</v>
      </c>
      <c r="D30" s="19" t="s">
        <v>246</v>
      </c>
      <c r="E30" s="39">
        <v>0.4826388888888889</v>
      </c>
      <c r="F30"/>
      <c r="G30"/>
      <c r="H30"/>
      <c r="I30"/>
      <c r="J30"/>
      <c r="K30"/>
      <c r="L30"/>
      <c r="M30"/>
      <c r="N30"/>
      <c r="O30"/>
      <c r="P30"/>
      <c r="Q30"/>
    </row>
    <row r="31" spans="1:17" ht="12.75">
      <c r="A31"/>
      <c r="B31" s="17"/>
      <c r="C31" s="19"/>
      <c r="D31" s="19"/>
      <c r="E31"/>
      <c r="F31"/>
      <c r="G31"/>
      <c r="H31"/>
      <c r="I31"/>
      <c r="J31"/>
      <c r="K31" s="12"/>
      <c r="L31"/>
      <c r="M31"/>
      <c r="N31"/>
      <c r="O31"/>
      <c r="P31"/>
      <c r="Q31"/>
    </row>
    <row r="32" spans="1:255"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5" ht="12.75">
      <c r="A33" s="3">
        <v>1953</v>
      </c>
      <c r="B33"/>
      <c r="C33" s="35" t="s">
        <v>221</v>
      </c>
      <c r="D33"/>
      <c r="E33" s="36" t="s">
        <v>283</v>
      </c>
    </row>
    <row r="34" spans="1:5" ht="12.75">
      <c r="A34" s="36" t="s">
        <v>2</v>
      </c>
      <c r="B34" s="36" t="s">
        <v>222</v>
      </c>
      <c r="C34" s="35" t="s">
        <v>223</v>
      </c>
      <c r="D34"/>
      <c r="E34" s="12">
        <v>1</v>
      </c>
    </row>
    <row r="35" spans="1:5" ht="12.75">
      <c r="A35" s="36"/>
      <c r="B35" s="36"/>
      <c r="C35"/>
      <c r="D35"/>
      <c r="E35" s="38" t="s">
        <v>284</v>
      </c>
    </row>
    <row r="36" spans="1:5" ht="12.75">
      <c r="A36" s="18">
        <v>0</v>
      </c>
      <c r="B36" s="18">
        <v>0</v>
      </c>
      <c r="C36" t="s">
        <v>225</v>
      </c>
      <c r="D36" t="s">
        <v>241</v>
      </c>
      <c r="E36" s="40">
        <v>0.3506944444444444</v>
      </c>
    </row>
    <row r="37" spans="1:5" ht="12.75">
      <c r="A37" s="18">
        <v>2.73</v>
      </c>
      <c r="B37" s="18">
        <v>0</v>
      </c>
      <c r="C37" t="s">
        <v>227</v>
      </c>
      <c r="D37"/>
      <c r="E37" s="40">
        <v>0.3576388888888889</v>
      </c>
    </row>
    <row r="38" spans="1:5" ht="12.75">
      <c r="A38" s="18">
        <v>12.73</v>
      </c>
      <c r="B38" s="18">
        <f>0.3048*849</f>
        <v>258.77520000000004</v>
      </c>
      <c r="C38" t="s">
        <v>285</v>
      </c>
      <c r="D38" t="s">
        <v>286</v>
      </c>
      <c r="E38" s="40">
        <v>0.3819444444444444</v>
      </c>
    </row>
    <row r="39" spans="1:5" ht="12.75">
      <c r="A39" s="18">
        <v>21.73</v>
      </c>
      <c r="B39" s="18">
        <f>0.3048*1871</f>
        <v>570.2808</v>
      </c>
      <c r="C39" t="s">
        <v>287</v>
      </c>
      <c r="D39" t="s">
        <v>286</v>
      </c>
      <c r="E39" s="40">
        <v>0.4027777777777778</v>
      </c>
    </row>
    <row r="40" spans="1:5" ht="12.75">
      <c r="A40" s="18">
        <v>31.83</v>
      </c>
      <c r="B40" s="18">
        <f>0.3048*2885</f>
        <v>879.3480000000001</v>
      </c>
      <c r="C40" t="s">
        <v>228</v>
      </c>
      <c r="D40"/>
      <c r="E40" s="40">
        <v>0.4236111111111111</v>
      </c>
    </row>
    <row r="41" spans="1:6" ht="12.75">
      <c r="A41" s="18">
        <v>64.33</v>
      </c>
      <c r="B41" s="18">
        <f>0.3048*2158</f>
        <v>657.7584</v>
      </c>
      <c r="C41" t="s">
        <v>230</v>
      </c>
      <c r="D41" t="s">
        <v>246</v>
      </c>
      <c r="E41" s="53">
        <v>0.5138888888888888</v>
      </c>
      <c r="F41"/>
    </row>
    <row r="42" spans="1:6" ht="12.75">
      <c r="A42" s="18">
        <v>64.33</v>
      </c>
      <c r="B42" s="18">
        <f>0.3048*2158</f>
        <v>657.7584</v>
      </c>
      <c r="C42" t="s">
        <v>277</v>
      </c>
      <c r="D42" t="s">
        <v>241</v>
      </c>
      <c r="E42" s="53">
        <v>0.53125</v>
      </c>
      <c r="F42"/>
    </row>
    <row r="43" spans="1:6" ht="12.75">
      <c r="A43" s="18">
        <f>1.609*51.66</f>
        <v>83.12093999999999</v>
      </c>
      <c r="B43" s="18"/>
      <c r="C43" t="s">
        <v>288</v>
      </c>
      <c r="D43" t="s">
        <v>286</v>
      </c>
      <c r="E43" s="53">
        <v>0.5520833333333334</v>
      </c>
      <c r="F43"/>
    </row>
    <row r="44" spans="1:6" ht="12.75">
      <c r="A44" s="18">
        <v>107.63</v>
      </c>
      <c r="B44" s="18">
        <f>0.3048*2164</f>
        <v>659.5872</v>
      </c>
      <c r="C44" t="s">
        <v>278</v>
      </c>
      <c r="D44"/>
      <c r="E44" s="53">
        <v>0.5840277777777778</v>
      </c>
      <c r="F44"/>
    </row>
    <row r="45" spans="1:6" ht="12.75">
      <c r="A45" s="18">
        <f>1.609*95.1</f>
        <v>153.0159</v>
      </c>
      <c r="B45" s="18"/>
      <c r="C45" t="s">
        <v>289</v>
      </c>
      <c r="D45" t="s">
        <v>286</v>
      </c>
      <c r="E45" s="53">
        <v>0.6354166666666666</v>
      </c>
      <c r="F45"/>
    </row>
    <row r="46" spans="1:6" ht="12.75">
      <c r="A46" s="18">
        <v>176.83</v>
      </c>
      <c r="B46" s="18">
        <f>0.3048*2079</f>
        <v>633.6792</v>
      </c>
      <c r="C46" t="s">
        <v>231</v>
      </c>
      <c r="D46" t="s">
        <v>246</v>
      </c>
      <c r="E46" s="53">
        <v>0.6631944444444444</v>
      </c>
      <c r="F46"/>
    </row>
    <row r="47" spans="1:6" ht="12.75">
      <c r="A47"/>
      <c r="B47"/>
      <c r="C47" t="s">
        <v>232</v>
      </c>
      <c r="D47"/>
      <c r="F47" s="54"/>
    </row>
    <row r="48" spans="1:6" ht="12.75">
      <c r="A48"/>
      <c r="B48"/>
      <c r="C48" t="s">
        <v>233</v>
      </c>
      <c r="D48"/>
      <c r="F48" s="54"/>
    </row>
    <row r="49" spans="1:6" ht="12.75">
      <c r="A49"/>
      <c r="B49"/>
      <c r="C49" t="s">
        <v>234</v>
      </c>
      <c r="D49"/>
      <c r="F49" s="54"/>
    </row>
    <row r="50" spans="1:6" ht="12.75">
      <c r="A50"/>
      <c r="B50"/>
      <c r="C50" s="19" t="s">
        <v>290</v>
      </c>
      <c r="D50"/>
      <c r="F50" s="54"/>
    </row>
    <row r="51" spans="1:6" ht="12.75">
      <c r="A51"/>
      <c r="B51"/>
      <c r="C51" t="s">
        <v>235</v>
      </c>
      <c r="D51"/>
      <c r="F51" s="54"/>
    </row>
    <row r="52" spans="1:255" ht="12.75">
      <c r="A52"/>
      <c r="B52"/>
      <c r="C52" t="s">
        <v>236</v>
      </c>
      <c r="D52"/>
      <c r="E52"/>
      <c r="F52" s="54"/>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ht="12.75">
      <c r="A53"/>
      <c r="B53"/>
      <c r="C53"/>
      <c r="D53"/>
      <c r="E53"/>
      <c r="F53" s="54"/>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6" ht="12.75">
      <c r="A54"/>
      <c r="B54"/>
      <c r="C54" s="35" t="s">
        <v>221</v>
      </c>
      <c r="D54"/>
      <c r="F54" s="54"/>
    </row>
    <row r="55" spans="1:6" ht="12.75">
      <c r="A55" s="36" t="s">
        <v>2</v>
      </c>
      <c r="B55" s="36" t="s">
        <v>222</v>
      </c>
      <c r="C55" s="35" t="s">
        <v>237</v>
      </c>
      <c r="D55"/>
      <c r="E55" s="36" t="s">
        <v>283</v>
      </c>
      <c r="F55" s="54"/>
    </row>
    <row r="56" spans="1:6" ht="12.75">
      <c r="A56"/>
      <c r="B56"/>
      <c r="C56"/>
      <c r="D56"/>
      <c r="E56" s="12">
        <v>2</v>
      </c>
      <c r="F56" s="54"/>
    </row>
    <row r="57" spans="1:6" ht="12.75">
      <c r="A57"/>
      <c r="B57"/>
      <c r="C57"/>
      <c r="D57"/>
      <c r="E57" s="38" t="s">
        <v>284</v>
      </c>
      <c r="F57" s="54"/>
    </row>
    <row r="58" spans="1:6" ht="12.75">
      <c r="A58" s="18">
        <f>A46-A46</f>
        <v>0</v>
      </c>
      <c r="B58" s="18">
        <f>0.3048*2079</f>
        <v>633.6792</v>
      </c>
      <c r="C58" t="s">
        <v>231</v>
      </c>
      <c r="D58" t="s">
        <v>241</v>
      </c>
      <c r="E58" s="53">
        <v>0.375</v>
      </c>
      <c r="F58"/>
    </row>
    <row r="59" spans="1:6" ht="12.75">
      <c r="A59" s="46">
        <f>A46-A45</f>
        <v>23.814100000000025</v>
      </c>
      <c r="B59"/>
      <c r="C59" t="s">
        <v>289</v>
      </c>
      <c r="D59"/>
      <c r="E59" s="53">
        <v>0.4027777777777778</v>
      </c>
      <c r="F59"/>
    </row>
    <row r="60" spans="1:6" ht="12.75">
      <c r="A60" s="34">
        <f>A46-A44</f>
        <v>69.20000000000002</v>
      </c>
      <c r="B60" s="18">
        <f>0.3048*2164</f>
        <v>659.5872</v>
      </c>
      <c r="C60" t="s">
        <v>278</v>
      </c>
      <c r="D60"/>
      <c r="E60" s="53">
        <v>0.4548611111111111</v>
      </c>
      <c r="F60"/>
    </row>
    <row r="61" spans="1:6" ht="12.75">
      <c r="A61" s="46">
        <f>A46-A43</f>
        <v>93.70906000000002</v>
      </c>
      <c r="B61"/>
      <c r="C61" t="s">
        <v>288</v>
      </c>
      <c r="D61" t="s">
        <v>286</v>
      </c>
      <c r="E61" s="53">
        <v>0.4861111111111111</v>
      </c>
      <c r="F61"/>
    </row>
    <row r="62" spans="1:6" ht="12.75">
      <c r="A62" s="34">
        <f>A46-A42</f>
        <v>112.50000000000001</v>
      </c>
      <c r="B62" s="18">
        <f>0.3048*2158</f>
        <v>657.7584</v>
      </c>
      <c r="C62" t="s">
        <v>277</v>
      </c>
      <c r="D62" t="s">
        <v>246</v>
      </c>
      <c r="E62" s="53">
        <v>0.5069444444444444</v>
      </c>
      <c r="F62"/>
    </row>
    <row r="63" spans="1:6" ht="12.75">
      <c r="A63" s="34">
        <f>A46-A41</f>
        <v>112.50000000000001</v>
      </c>
      <c r="B63" s="18">
        <f>0.3048*2158</f>
        <v>657.7584</v>
      </c>
      <c r="C63" t="s">
        <v>230</v>
      </c>
      <c r="D63" t="s">
        <v>241</v>
      </c>
      <c r="E63" s="53">
        <v>0.5277777777777778</v>
      </c>
      <c r="F63"/>
    </row>
    <row r="64" spans="1:6" ht="12.75">
      <c r="A64" s="18">
        <f>A69-52.13</f>
        <v>124.70000000000002</v>
      </c>
      <c r="B64" s="18">
        <f>0.3048*2916</f>
        <v>888.7968000000001</v>
      </c>
      <c r="C64" t="s">
        <v>229</v>
      </c>
      <c r="D64" t="s">
        <v>286</v>
      </c>
      <c r="E64" s="53">
        <v>0.5486111111111112</v>
      </c>
      <c r="F64"/>
    </row>
    <row r="65" spans="1:5" ht="12.75">
      <c r="A65" s="34">
        <f>A46-A40</f>
        <v>145</v>
      </c>
      <c r="B65" s="18">
        <f>0.3048*2885</f>
        <v>879.3480000000001</v>
      </c>
      <c r="C65" t="s">
        <v>228</v>
      </c>
      <c r="D65"/>
      <c r="E65" s="39">
        <v>0.5347222222222222</v>
      </c>
    </row>
    <row r="66" spans="1:5" ht="12.75">
      <c r="A66" s="34">
        <f>A46-A39</f>
        <v>155.10000000000002</v>
      </c>
      <c r="B66" s="18">
        <f>0.3048*1871</f>
        <v>570.2808</v>
      </c>
      <c r="C66" t="s">
        <v>287</v>
      </c>
      <c r="D66" t="s">
        <v>286</v>
      </c>
      <c r="E66" s="40">
        <v>0.5555555555555556</v>
      </c>
    </row>
    <row r="67" spans="1:5" ht="12.75">
      <c r="A67" s="34">
        <f>A46-A38</f>
        <v>164.10000000000002</v>
      </c>
      <c r="B67" s="18">
        <f>0.3048*849</f>
        <v>258.77520000000004</v>
      </c>
      <c r="C67" t="s">
        <v>285</v>
      </c>
      <c r="D67" t="s">
        <v>286</v>
      </c>
      <c r="E67" s="40">
        <v>0.5729166666666666</v>
      </c>
    </row>
    <row r="68" spans="1:5" ht="12.75">
      <c r="A68" s="34">
        <f>A46-A37</f>
        <v>174.10000000000002</v>
      </c>
      <c r="B68" s="18">
        <v>0</v>
      </c>
      <c r="C68" t="s">
        <v>227</v>
      </c>
      <c r="D68" t="s">
        <v>246</v>
      </c>
      <c r="E68" s="40">
        <v>0.5972222222222222</v>
      </c>
    </row>
    <row r="69" spans="1:5" ht="12.75">
      <c r="A69" s="34">
        <f>A46-A36</f>
        <v>176.83</v>
      </c>
      <c r="B69" s="18">
        <v>0</v>
      </c>
      <c r="C69" t="s">
        <v>225</v>
      </c>
      <c r="D69" t="s">
        <v>246</v>
      </c>
      <c r="E69" s="39">
        <v>0.6041666666666666</v>
      </c>
    </row>
    <row r="70" spans="1:4" ht="12.75">
      <c r="A70"/>
      <c r="B70"/>
      <c r="C70" t="s">
        <v>239</v>
      </c>
      <c r="D70"/>
    </row>
    <row r="71" spans="1:4" ht="12.75">
      <c r="A71"/>
      <c r="B71"/>
      <c r="C71" t="s">
        <v>233</v>
      </c>
      <c r="D71"/>
    </row>
    <row r="72" spans="1:4" ht="12.75">
      <c r="A72"/>
      <c r="B72"/>
      <c r="C72" t="s">
        <v>234</v>
      </c>
      <c r="D72"/>
    </row>
    <row r="73" ht="12.75">
      <c r="C73" s="19" t="s">
        <v>290</v>
      </c>
    </row>
    <row r="74" ht="12.75">
      <c r="C74" t="s">
        <v>235</v>
      </c>
    </row>
    <row r="75" spans="1:255" ht="12.75">
      <c r="A75"/>
      <c r="B75"/>
      <c r="C75" t="s">
        <v>236</v>
      </c>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ht="12.75">
      <c r="C80"/>
    </row>
    <row r="81" ht="12.75">
      <c r="C81"/>
    </row>
    <row r="82" ht="12.75">
      <c r="C82"/>
    </row>
    <row r="83" ht="12.75">
      <c r="C83"/>
    </row>
    <row r="84" ht="12.75">
      <c r="C84"/>
    </row>
    <row r="108" spans="1:255"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8.xml><?xml version="1.0" encoding="utf-8"?>
<worksheet xmlns="http://schemas.openxmlformats.org/spreadsheetml/2006/main" xmlns:r="http://schemas.openxmlformats.org/officeDocument/2006/relationships">
  <dimension ref="A1:IU149"/>
  <sheetViews>
    <sheetView zoomScale="80" zoomScaleNormal="80" workbookViewId="0" topLeftCell="A1">
      <selection activeCell="A1" sqref="A1"/>
    </sheetView>
  </sheetViews>
  <sheetFormatPr defaultColWidth="12.57421875" defaultRowHeight="12.75"/>
  <cols>
    <col min="1" max="1" width="5.57421875" style="16" customWidth="1"/>
    <col min="2" max="2" width="7.421875" style="16" customWidth="1"/>
    <col min="3" max="3" width="17.00390625" style="16" customWidth="1"/>
    <col min="4" max="4" width="2.140625" style="16" customWidth="1"/>
    <col min="5" max="255" width="11.57421875" style="16" customWidth="1"/>
    <col min="256" max="16384" width="11.57421875" style="0" customWidth="1"/>
  </cols>
  <sheetData>
    <row r="1" spans="1:22" ht="12.75">
      <c r="A1" s="3">
        <v>1958</v>
      </c>
      <c r="B1"/>
      <c r="C1" s="3" t="s">
        <v>34</v>
      </c>
      <c r="D1" s="19"/>
      <c r="E1"/>
      <c r="F1"/>
      <c r="G1"/>
      <c r="H1"/>
      <c r="I1"/>
      <c r="J1"/>
      <c r="K1"/>
      <c r="L1"/>
      <c r="M1"/>
      <c r="N1"/>
      <c r="O1"/>
      <c r="P1"/>
      <c r="Q1"/>
      <c r="R1"/>
      <c r="S1"/>
      <c r="T1"/>
      <c r="U1"/>
      <c r="V1"/>
    </row>
    <row r="2" spans="1:17" ht="12.75">
      <c r="A2" t="s">
        <v>2</v>
      </c>
      <c r="B2" s="36" t="s">
        <v>222</v>
      </c>
      <c r="C2" s="42" t="s">
        <v>223</v>
      </c>
      <c r="D2" s="19"/>
      <c r="E2"/>
      <c r="F2" s="41" t="s">
        <v>31</v>
      </c>
      <c r="G2"/>
      <c r="H2"/>
      <c r="I2"/>
      <c r="J2"/>
      <c r="K2"/>
      <c r="L2"/>
      <c r="M2"/>
      <c r="N2"/>
      <c r="O2"/>
      <c r="P2"/>
      <c r="Q2"/>
    </row>
    <row r="3" spans="1:17" ht="12.75">
      <c r="A3"/>
      <c r="B3"/>
      <c r="C3" s="35" t="s">
        <v>291</v>
      </c>
      <c r="D3" s="19"/>
      <c r="E3" s="23" t="s">
        <v>22</v>
      </c>
      <c r="F3" s="36" t="s">
        <v>64</v>
      </c>
      <c r="G3"/>
      <c r="H3"/>
      <c r="I3"/>
      <c r="J3" s="56"/>
      <c r="K3"/>
      <c r="L3"/>
      <c r="M3"/>
      <c r="N3"/>
      <c r="O3"/>
      <c r="P3"/>
      <c r="Q3"/>
    </row>
    <row r="4" spans="1:17" ht="12.75">
      <c r="A4"/>
      <c r="B4"/>
      <c r="C4" s="35"/>
      <c r="D4" s="19"/>
      <c r="E4" s="23"/>
      <c r="F4" s="36" t="s">
        <v>65</v>
      </c>
      <c r="G4"/>
      <c r="H4"/>
      <c r="I4"/>
      <c r="J4" s="56"/>
      <c r="K4"/>
      <c r="L4"/>
      <c r="M4"/>
      <c r="N4"/>
      <c r="O4"/>
      <c r="P4"/>
      <c r="Q4"/>
    </row>
    <row r="5" spans="1:17" ht="12.75">
      <c r="A5">
        <v>0</v>
      </c>
      <c r="B5" s="17">
        <f>B26</f>
        <v>6.4008</v>
      </c>
      <c r="C5" s="19" t="s">
        <v>281</v>
      </c>
      <c r="D5" s="19" t="s">
        <v>241</v>
      </c>
      <c r="E5" s="39">
        <v>0.625</v>
      </c>
      <c r="F5"/>
      <c r="G5"/>
      <c r="H5"/>
      <c r="I5"/>
      <c r="J5"/>
      <c r="K5"/>
      <c r="L5"/>
      <c r="M5"/>
      <c r="N5"/>
      <c r="O5"/>
      <c r="P5"/>
      <c r="Q5"/>
    </row>
    <row r="6" spans="1:17" ht="12.75">
      <c r="A6">
        <v>19</v>
      </c>
      <c r="B6" s="17">
        <f>B25</f>
        <v>10.0584</v>
      </c>
      <c r="C6" s="19" t="s">
        <v>270</v>
      </c>
      <c r="D6" s="19"/>
      <c r="E6" s="39">
        <v>0.6458333333333334</v>
      </c>
      <c r="F6"/>
      <c r="G6"/>
      <c r="H6"/>
      <c r="I6"/>
      <c r="J6"/>
      <c r="K6"/>
      <c r="L6"/>
      <c r="M6"/>
      <c r="N6"/>
      <c r="O6"/>
      <c r="P6" s="22"/>
      <c r="Q6"/>
    </row>
    <row r="7" spans="1:17" ht="12.75">
      <c r="A7" t="s">
        <v>282</v>
      </c>
      <c r="B7" s="17">
        <f>0.3048*38</f>
        <v>11.5824</v>
      </c>
      <c r="C7" s="19" t="s">
        <v>245</v>
      </c>
      <c r="D7" s="19"/>
      <c r="E7" s="39">
        <v>0.7118055555555556</v>
      </c>
      <c r="F7" s="37">
        <v>0.8541666666666666</v>
      </c>
      <c r="G7"/>
      <c r="H7"/>
      <c r="I7"/>
      <c r="J7"/>
      <c r="K7"/>
      <c r="L7"/>
      <c r="M7"/>
      <c r="N7"/>
      <c r="O7"/>
      <c r="P7" s="22"/>
      <c r="Q7"/>
    </row>
    <row r="8" spans="1:22" ht="12.75">
      <c r="A8">
        <v>73</v>
      </c>
      <c r="B8" s="17">
        <f>0.3048*339</f>
        <v>103.3272</v>
      </c>
      <c r="C8" s="12" t="s">
        <v>248</v>
      </c>
      <c r="D8" s="19"/>
      <c r="E8"/>
      <c r="F8" s="37">
        <v>0.9236111111111112</v>
      </c>
      <c r="G8"/>
      <c r="H8"/>
      <c r="I8"/>
      <c r="J8"/>
      <c r="K8"/>
      <c r="L8"/>
      <c r="M8"/>
      <c r="N8"/>
      <c r="O8"/>
      <c r="P8"/>
      <c r="Q8"/>
      <c r="R8"/>
      <c r="S8"/>
      <c r="T8"/>
      <c r="U8"/>
      <c r="V8"/>
    </row>
    <row r="9" spans="1:22" ht="12.75">
      <c r="A9">
        <v>216</v>
      </c>
      <c r="B9" s="17">
        <f>0.3048*546</f>
        <v>166.4208</v>
      </c>
      <c r="C9" s="19" t="s">
        <v>250</v>
      </c>
      <c r="D9" s="19"/>
      <c r="E9"/>
      <c r="F9" s="37">
        <v>0.03125</v>
      </c>
      <c r="G9"/>
      <c r="H9"/>
      <c r="I9"/>
      <c r="J9"/>
      <c r="K9"/>
      <c r="L9"/>
      <c r="M9"/>
      <c r="N9"/>
      <c r="O9"/>
      <c r="P9"/>
      <c r="Q9"/>
      <c r="R9"/>
      <c r="S9"/>
      <c r="T9"/>
      <c r="U9"/>
      <c r="V9"/>
    </row>
    <row r="10" spans="1:22" ht="12.75">
      <c r="A10">
        <v>376</v>
      </c>
      <c r="B10" s="17">
        <f>0.3048*1732</f>
        <v>527.9136</v>
      </c>
      <c r="C10" s="15" t="s">
        <v>255</v>
      </c>
      <c r="D10" s="19"/>
      <c r="E10"/>
      <c r="F10" s="37">
        <v>0.18125</v>
      </c>
      <c r="G10"/>
      <c r="H10"/>
      <c r="I10"/>
      <c r="J10"/>
      <c r="K10"/>
      <c r="L10"/>
      <c r="M10"/>
      <c r="N10"/>
      <c r="O10"/>
      <c r="P10"/>
      <c r="Q10"/>
      <c r="R10"/>
      <c r="S10"/>
      <c r="T10"/>
      <c r="U10"/>
      <c r="V10"/>
    </row>
    <row r="11" spans="1:22" ht="12.75">
      <c r="A11">
        <v>393</v>
      </c>
      <c r="B11" s="17">
        <f>0.3048*1368</f>
        <v>416.9664</v>
      </c>
      <c r="C11" s="19" t="s">
        <v>256</v>
      </c>
      <c r="D11" s="19"/>
      <c r="E11"/>
      <c r="F11" s="37">
        <v>0.2152777777777778</v>
      </c>
      <c r="G11"/>
      <c r="H11"/>
      <c r="I11"/>
      <c r="J11"/>
      <c r="K11"/>
      <c r="L11"/>
      <c r="M11"/>
      <c r="N11"/>
      <c r="O11"/>
      <c r="P11"/>
      <c r="Q11"/>
      <c r="R11"/>
      <c r="S11"/>
      <c r="T11"/>
      <c r="U11"/>
      <c r="V11"/>
    </row>
    <row r="12" spans="1:22" ht="12.75">
      <c r="A12">
        <v>479</v>
      </c>
      <c r="B12" s="17">
        <f>0.3048*362</f>
        <v>110.33760000000001</v>
      </c>
      <c r="C12" s="19" t="s">
        <v>257</v>
      </c>
      <c r="D12" s="19"/>
      <c r="E12"/>
      <c r="F12" s="37">
        <v>0.27361111111111114</v>
      </c>
      <c r="G12"/>
      <c r="H12"/>
      <c r="I12"/>
      <c r="J12"/>
      <c r="K12"/>
      <c r="L12"/>
      <c r="M12"/>
      <c r="N12"/>
      <c r="O12"/>
      <c r="P12"/>
      <c r="Q12"/>
      <c r="R12"/>
      <c r="S12"/>
      <c r="T12"/>
      <c r="U12"/>
      <c r="V12"/>
    </row>
    <row r="13" spans="1:22" ht="12.75">
      <c r="A13">
        <v>573</v>
      </c>
      <c r="B13" s="17">
        <f>0.3048*448</f>
        <v>136.5504</v>
      </c>
      <c r="C13" s="19" t="s">
        <v>258</v>
      </c>
      <c r="D13" s="19" t="s">
        <v>246</v>
      </c>
      <c r="E13"/>
      <c r="F13" s="37">
        <v>0.3506944444444444</v>
      </c>
      <c r="G13"/>
      <c r="H13"/>
      <c r="I13"/>
      <c r="J13"/>
      <c r="K13"/>
      <c r="L13"/>
      <c r="M13"/>
      <c r="N13"/>
      <c r="O13"/>
      <c r="P13"/>
      <c r="Q13"/>
      <c r="R13"/>
      <c r="S13"/>
      <c r="T13"/>
      <c r="U13"/>
      <c r="V13"/>
    </row>
    <row r="14" spans="1:22" ht="12.75">
      <c r="A14"/>
      <c r="B14"/>
      <c r="C14"/>
      <c r="D14"/>
      <c r="E14"/>
      <c r="F14"/>
      <c r="G14"/>
      <c r="H14"/>
      <c r="I14"/>
      <c r="J14"/>
      <c r="K14"/>
      <c r="L14"/>
      <c r="M14"/>
      <c r="N14"/>
      <c r="O14"/>
      <c r="P14"/>
      <c r="Q14"/>
      <c r="R14"/>
      <c r="S14"/>
      <c r="T14"/>
      <c r="U14"/>
      <c r="V14"/>
    </row>
    <row r="15" spans="1:22" ht="12.75">
      <c r="A15" t="s">
        <v>2</v>
      </c>
      <c r="B15" s="36" t="s">
        <v>222</v>
      </c>
      <c r="C15" s="42" t="s">
        <v>237</v>
      </c>
      <c r="D15" s="19"/>
      <c r="E15" s="41" t="s">
        <v>31</v>
      </c>
      <c r="F15"/>
      <c r="G15"/>
      <c r="H15"/>
      <c r="I15"/>
      <c r="J15"/>
      <c r="K15"/>
      <c r="L15"/>
      <c r="M15"/>
      <c r="N15"/>
      <c r="O15"/>
      <c r="P15"/>
      <c r="Q15"/>
      <c r="R15"/>
      <c r="S15"/>
      <c r="T15"/>
      <c r="U15"/>
      <c r="V15"/>
    </row>
    <row r="16" spans="1:22" ht="12.75">
      <c r="A16"/>
      <c r="B16"/>
      <c r="C16" s="35" t="s">
        <v>291</v>
      </c>
      <c r="D16" s="19"/>
      <c r="E16" s="36" t="s">
        <v>66</v>
      </c>
      <c r="F16" s="23" t="s">
        <v>22</v>
      </c>
      <c r="G16"/>
      <c r="H16"/>
      <c r="I16"/>
      <c r="J16"/>
      <c r="K16"/>
      <c r="L16"/>
      <c r="M16"/>
      <c r="N16"/>
      <c r="O16"/>
      <c r="P16"/>
      <c r="Q16"/>
      <c r="R16"/>
      <c r="S16"/>
      <c r="T16"/>
      <c r="U16"/>
      <c r="V16"/>
    </row>
    <row r="17" spans="1:22" ht="12.75">
      <c r="A17"/>
      <c r="B17"/>
      <c r="C17"/>
      <c r="D17"/>
      <c r="E17" s="36" t="s">
        <v>65</v>
      </c>
      <c r="F17"/>
      <c r="G17"/>
      <c r="H17"/>
      <c r="I17"/>
      <c r="J17"/>
      <c r="K17"/>
      <c r="L17"/>
      <c r="M17"/>
      <c r="N17"/>
      <c r="O17"/>
      <c r="P17"/>
      <c r="Q17"/>
      <c r="R17"/>
      <c r="S17"/>
      <c r="T17"/>
      <c r="U17"/>
      <c r="V17"/>
    </row>
    <row r="18" spans="1:22" ht="12.75">
      <c r="A18">
        <v>0</v>
      </c>
      <c r="B18" s="17">
        <f>B13-B13</f>
        <v>0</v>
      </c>
      <c r="C18" s="19" t="s">
        <v>258</v>
      </c>
      <c r="D18" s="19" t="s">
        <v>241</v>
      </c>
      <c r="E18" s="37">
        <v>0.8541666666666666</v>
      </c>
      <c r="F18"/>
      <c r="G18"/>
      <c r="H18"/>
      <c r="I18"/>
      <c r="J18"/>
      <c r="K18"/>
      <c r="L18"/>
      <c r="M18"/>
      <c r="N18"/>
      <c r="O18"/>
      <c r="P18"/>
      <c r="Q18"/>
      <c r="R18"/>
      <c r="S18"/>
      <c r="T18"/>
      <c r="U18"/>
      <c r="V18"/>
    </row>
    <row r="19" spans="1:22" ht="12.75">
      <c r="A19">
        <v>94</v>
      </c>
      <c r="B19" s="17">
        <f>B12</f>
        <v>110.33760000000001</v>
      </c>
      <c r="C19" s="19" t="s">
        <v>257</v>
      </c>
      <c r="D19" s="19"/>
      <c r="E19" s="37">
        <v>0.9291666666666667</v>
      </c>
      <c r="F19"/>
      <c r="G19"/>
      <c r="H19"/>
      <c r="I19"/>
      <c r="J19"/>
      <c r="K19"/>
      <c r="L19"/>
      <c r="M19"/>
      <c r="N19"/>
      <c r="O19"/>
      <c r="P19"/>
      <c r="Q19"/>
      <c r="R19"/>
      <c r="S19"/>
      <c r="T19"/>
      <c r="U19"/>
      <c r="V19"/>
    </row>
    <row r="20" spans="1:22" ht="12.75">
      <c r="A20">
        <v>180</v>
      </c>
      <c r="B20" s="17">
        <f>B11</f>
        <v>416.9664</v>
      </c>
      <c r="C20" s="19" t="s">
        <v>256</v>
      </c>
      <c r="D20" s="19"/>
      <c r="E20" s="37">
        <v>0.9930555555555556</v>
      </c>
      <c r="F20"/>
      <c r="G20"/>
      <c r="H20"/>
      <c r="I20"/>
      <c r="J20"/>
      <c r="K20"/>
      <c r="L20"/>
      <c r="M20"/>
      <c r="N20"/>
      <c r="O20"/>
      <c r="P20"/>
      <c r="Q20"/>
      <c r="R20"/>
      <c r="S20"/>
      <c r="T20"/>
      <c r="U20"/>
      <c r="V20"/>
    </row>
    <row r="21" spans="1:22" ht="12.75">
      <c r="A21">
        <v>197</v>
      </c>
      <c r="B21" s="17">
        <f>B10</f>
        <v>527.9136</v>
      </c>
      <c r="C21" s="39" t="s">
        <v>255</v>
      </c>
      <c r="D21" s="19"/>
      <c r="E21" s="37">
        <v>0.02013888888888889</v>
      </c>
      <c r="F21"/>
      <c r="G21"/>
      <c r="H21"/>
      <c r="I21"/>
      <c r="J21"/>
      <c r="K21"/>
      <c r="L21"/>
      <c r="M21"/>
      <c r="N21"/>
      <c r="O21"/>
      <c r="P21"/>
      <c r="Q21"/>
      <c r="R21"/>
      <c r="S21"/>
      <c r="T21"/>
      <c r="U21"/>
      <c r="V21"/>
    </row>
    <row r="22" spans="1:254" ht="12.75">
      <c r="A22">
        <v>357</v>
      </c>
      <c r="B22" s="17">
        <f>B9</f>
        <v>166.4208</v>
      </c>
      <c r="C22" s="19" t="s">
        <v>250</v>
      </c>
      <c r="D22" s="47"/>
      <c r="E22" s="37">
        <v>0.1736111111111111</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2" ht="12.75">
      <c r="A23" s="17">
        <f>A13-A8</f>
        <v>500</v>
      </c>
      <c r="B23" s="17">
        <f>B8</f>
        <v>103.3272</v>
      </c>
      <c r="C23" s="19" t="s">
        <v>248</v>
      </c>
      <c r="D23" s="19"/>
      <c r="E23" s="37">
        <v>0.2708333333333333</v>
      </c>
      <c r="F23"/>
      <c r="G23"/>
      <c r="H23"/>
      <c r="I23"/>
      <c r="J23"/>
      <c r="K23"/>
      <c r="L23"/>
      <c r="M23"/>
      <c r="N23"/>
      <c r="O23"/>
      <c r="P23"/>
      <c r="Q23"/>
      <c r="R23"/>
      <c r="S23"/>
      <c r="T23"/>
      <c r="U23"/>
      <c r="V23"/>
    </row>
    <row r="24" spans="1:22" ht="12.75">
      <c r="A24" t="s">
        <v>275</v>
      </c>
      <c r="B24" s="17">
        <f>B7</f>
        <v>11.5824</v>
      </c>
      <c r="C24" s="19" t="s">
        <v>245</v>
      </c>
      <c r="D24" s="19"/>
      <c r="E24" s="37">
        <v>0.34375</v>
      </c>
      <c r="F24" s="39">
        <v>0.3888888888888889</v>
      </c>
      <c r="G24"/>
      <c r="H24"/>
      <c r="I24"/>
      <c r="J24"/>
      <c r="K24"/>
      <c r="L24"/>
      <c r="M24"/>
      <c r="N24"/>
      <c r="O24"/>
      <c r="P24"/>
      <c r="Q24"/>
      <c r="R24"/>
      <c r="S24"/>
      <c r="T24"/>
      <c r="U24"/>
      <c r="V24"/>
    </row>
    <row r="25" spans="1:17" ht="12.75">
      <c r="A25">
        <v>81</v>
      </c>
      <c r="B25" s="17">
        <f>0.3048*33</f>
        <v>10.0584</v>
      </c>
      <c r="C25" s="19" t="s">
        <v>270</v>
      </c>
      <c r="D25" s="19"/>
      <c r="E25"/>
      <c r="F25" s="39">
        <v>0.4618055555555556</v>
      </c>
      <c r="G25"/>
      <c r="H25"/>
      <c r="I25"/>
      <c r="J25"/>
      <c r="K25"/>
      <c r="L25"/>
      <c r="M25"/>
      <c r="N25"/>
      <c r="O25"/>
      <c r="P25"/>
      <c r="Q25"/>
    </row>
    <row r="26" spans="1:17" ht="12.75">
      <c r="A26">
        <v>100</v>
      </c>
      <c r="B26" s="17">
        <f>0.3048*21</f>
        <v>6.4008</v>
      </c>
      <c r="C26" s="19" t="s">
        <v>281</v>
      </c>
      <c r="D26" s="19" t="s">
        <v>246</v>
      </c>
      <c r="E26"/>
      <c r="F26" s="39">
        <v>0.4826388888888889</v>
      </c>
      <c r="G26"/>
      <c r="H26"/>
      <c r="I26"/>
      <c r="J26"/>
      <c r="K26"/>
      <c r="L26"/>
      <c r="M26"/>
      <c r="N26"/>
      <c r="O26"/>
      <c r="P26"/>
      <c r="Q26"/>
    </row>
    <row r="27" spans="1:17" ht="12.75">
      <c r="A27"/>
      <c r="B27" s="17"/>
      <c r="C27" s="19"/>
      <c r="D27" s="19"/>
      <c r="E27"/>
      <c r="F27"/>
      <c r="G27"/>
      <c r="H27"/>
      <c r="I27"/>
      <c r="J27"/>
      <c r="K27" s="12"/>
      <c r="L27"/>
      <c r="M27"/>
      <c r="N27"/>
      <c r="O27"/>
      <c r="P27"/>
      <c r="Q27"/>
    </row>
    <row r="28" spans="1:255"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7" ht="12.75">
      <c r="A29" s="3">
        <v>1953</v>
      </c>
      <c r="B29"/>
      <c r="C29" s="35" t="s">
        <v>221</v>
      </c>
      <c r="D29"/>
      <c r="E29" s="36" t="s">
        <v>283</v>
      </c>
      <c r="G29"/>
    </row>
    <row r="30" spans="1:5" ht="12.75">
      <c r="A30" s="36" t="s">
        <v>2</v>
      </c>
      <c r="B30" s="36" t="s">
        <v>222</v>
      </c>
      <c r="C30" s="35" t="s">
        <v>223</v>
      </c>
      <c r="D30"/>
      <c r="E30" s="12">
        <v>1</v>
      </c>
    </row>
    <row r="31" spans="1:5" ht="12.75">
      <c r="A31" s="36"/>
      <c r="B31" s="36"/>
      <c r="C31"/>
      <c r="D31"/>
      <c r="E31" s="38" t="s">
        <v>284</v>
      </c>
    </row>
    <row r="32" spans="1:5" ht="12.75">
      <c r="A32" s="18">
        <v>0</v>
      </c>
      <c r="B32" s="18">
        <v>0</v>
      </c>
      <c r="C32" t="s">
        <v>225</v>
      </c>
      <c r="D32" t="s">
        <v>241</v>
      </c>
      <c r="E32" s="40">
        <v>0.3506944444444444</v>
      </c>
    </row>
    <row r="33" spans="1:5" ht="12.75">
      <c r="A33" s="18">
        <v>2.73</v>
      </c>
      <c r="B33" s="18">
        <v>0</v>
      </c>
      <c r="C33" t="s">
        <v>227</v>
      </c>
      <c r="D33"/>
      <c r="E33" s="40">
        <v>0.3576388888888889</v>
      </c>
    </row>
    <row r="34" spans="1:5" ht="12.75">
      <c r="A34" s="18">
        <v>12.73</v>
      </c>
      <c r="B34" s="18">
        <f>0.3048*849</f>
        <v>258.77520000000004</v>
      </c>
      <c r="C34" t="s">
        <v>285</v>
      </c>
      <c r="D34" t="s">
        <v>286</v>
      </c>
      <c r="E34" s="40">
        <v>0.3819444444444444</v>
      </c>
    </row>
    <row r="35" spans="1:5" ht="12.75">
      <c r="A35" s="18">
        <v>21.73</v>
      </c>
      <c r="B35" s="18">
        <f>0.3048*1871</f>
        <v>570.2808</v>
      </c>
      <c r="C35" t="s">
        <v>287</v>
      </c>
      <c r="D35" t="s">
        <v>286</v>
      </c>
      <c r="E35" s="40">
        <v>0.4027777777777778</v>
      </c>
    </row>
    <row r="36" spans="1:5" ht="12.75">
      <c r="A36" s="18">
        <v>31.83</v>
      </c>
      <c r="B36" s="18">
        <f>0.3048*2885</f>
        <v>879.3480000000001</v>
      </c>
      <c r="C36" t="s">
        <v>228</v>
      </c>
      <c r="D36"/>
      <c r="E36" s="40">
        <v>0.4236111111111111</v>
      </c>
    </row>
    <row r="37" spans="1:6" ht="12.75">
      <c r="A37" s="18">
        <v>64.33</v>
      </c>
      <c r="B37" s="18">
        <f>0.3048*2158</f>
        <v>657.7584</v>
      </c>
      <c r="C37" t="s">
        <v>230</v>
      </c>
      <c r="D37" t="s">
        <v>246</v>
      </c>
      <c r="E37" s="53">
        <v>0.5138888888888888</v>
      </c>
      <c r="F37"/>
    </row>
    <row r="38" spans="1:6" ht="12.75">
      <c r="A38" s="18">
        <v>64.33</v>
      </c>
      <c r="B38" s="18">
        <f>0.3048*2158</f>
        <v>657.7584</v>
      </c>
      <c r="C38" t="s">
        <v>277</v>
      </c>
      <c r="D38" t="s">
        <v>241</v>
      </c>
      <c r="E38" s="53">
        <v>0.53125</v>
      </c>
      <c r="F38"/>
    </row>
    <row r="39" spans="1:6" ht="12.75">
      <c r="A39" s="18">
        <f>1.609*51.66</f>
        <v>83.12093999999999</v>
      </c>
      <c r="B39" s="18"/>
      <c r="C39" t="s">
        <v>288</v>
      </c>
      <c r="D39" t="s">
        <v>286</v>
      </c>
      <c r="E39" s="53">
        <v>0.5520833333333334</v>
      </c>
      <c r="F39"/>
    </row>
    <row r="40" spans="1:6" ht="12.75">
      <c r="A40" s="18">
        <v>107.63</v>
      </c>
      <c r="B40" s="18">
        <f>0.3048*2164</f>
        <v>659.5872</v>
      </c>
      <c r="C40" t="s">
        <v>278</v>
      </c>
      <c r="D40"/>
      <c r="E40" s="53">
        <v>0.5840277777777778</v>
      </c>
      <c r="F40"/>
    </row>
    <row r="41" spans="1:6" ht="12.75">
      <c r="A41" s="18">
        <f>1.609*95.1</f>
        <v>153.0159</v>
      </c>
      <c r="B41" s="18"/>
      <c r="C41" t="s">
        <v>289</v>
      </c>
      <c r="D41" t="s">
        <v>286</v>
      </c>
      <c r="E41" s="53">
        <v>0.6354166666666666</v>
      </c>
      <c r="F41"/>
    </row>
    <row r="42" spans="1:6" ht="12.75">
      <c r="A42" s="18">
        <v>176.83</v>
      </c>
      <c r="B42" s="18">
        <f>0.3048*2079</f>
        <v>633.6792</v>
      </c>
      <c r="C42" t="s">
        <v>231</v>
      </c>
      <c r="D42" t="s">
        <v>246</v>
      </c>
      <c r="E42" s="53">
        <v>0.6631944444444444</v>
      </c>
      <c r="F42"/>
    </row>
    <row r="43" spans="1:6" ht="12.75">
      <c r="A43"/>
      <c r="B43"/>
      <c r="C43" t="s">
        <v>232</v>
      </c>
      <c r="D43"/>
      <c r="F43" s="54"/>
    </row>
    <row r="44" spans="1:6" ht="12.75">
      <c r="A44"/>
      <c r="B44"/>
      <c r="C44" t="s">
        <v>233</v>
      </c>
      <c r="D44"/>
      <c r="F44" s="54"/>
    </row>
    <row r="45" spans="1:6" ht="12.75">
      <c r="A45"/>
      <c r="B45"/>
      <c r="C45" t="s">
        <v>234</v>
      </c>
      <c r="D45"/>
      <c r="F45" s="54"/>
    </row>
    <row r="46" spans="1:6" ht="12.75">
      <c r="A46"/>
      <c r="B46"/>
      <c r="C46" s="19" t="s">
        <v>290</v>
      </c>
      <c r="D46"/>
      <c r="F46" s="54"/>
    </row>
    <row r="47" spans="1:6" ht="12.75">
      <c r="A47"/>
      <c r="B47"/>
      <c r="C47" t="s">
        <v>235</v>
      </c>
      <c r="D47"/>
      <c r="F47" s="54"/>
    </row>
    <row r="48" spans="1:255" ht="12.75">
      <c r="A48"/>
      <c r="B48"/>
      <c r="C48" t="s">
        <v>236</v>
      </c>
      <c r="D48"/>
      <c r="E48"/>
      <c r="F48" s="54"/>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2.75">
      <c r="A49"/>
      <c r="B49"/>
      <c r="C49"/>
      <c r="D49"/>
      <c r="E49"/>
      <c r="F49" s="54"/>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6" ht="12.75">
      <c r="A50"/>
      <c r="B50"/>
      <c r="C50" s="35" t="s">
        <v>221</v>
      </c>
      <c r="D50"/>
      <c r="F50" s="54"/>
    </row>
    <row r="51" spans="1:6" ht="12.75">
      <c r="A51" s="36" t="s">
        <v>2</v>
      </c>
      <c r="B51" s="36" t="s">
        <v>222</v>
      </c>
      <c r="C51" s="35" t="s">
        <v>237</v>
      </c>
      <c r="D51"/>
      <c r="E51" s="36" t="s">
        <v>283</v>
      </c>
      <c r="F51" s="54"/>
    </row>
    <row r="52" spans="1:6" ht="12.75">
      <c r="A52"/>
      <c r="B52"/>
      <c r="C52"/>
      <c r="D52"/>
      <c r="E52" s="12">
        <v>2</v>
      </c>
      <c r="F52" s="54"/>
    </row>
    <row r="53" spans="1:6" ht="12.75">
      <c r="A53"/>
      <c r="B53"/>
      <c r="C53"/>
      <c r="D53"/>
      <c r="E53" s="38" t="s">
        <v>284</v>
      </c>
      <c r="F53" s="54"/>
    </row>
    <row r="54" spans="1:6" ht="12.75">
      <c r="A54" s="18">
        <f>A42-A42</f>
        <v>0</v>
      </c>
      <c r="B54" s="18">
        <f>0.3048*2079</f>
        <v>633.6792</v>
      </c>
      <c r="C54" t="s">
        <v>231</v>
      </c>
      <c r="D54" t="s">
        <v>241</v>
      </c>
      <c r="E54" s="53">
        <v>0.375</v>
      </c>
      <c r="F54"/>
    </row>
    <row r="55" spans="1:6" ht="12.75">
      <c r="A55" s="46">
        <f>A42-A41</f>
        <v>23.814100000000025</v>
      </c>
      <c r="B55"/>
      <c r="C55" t="s">
        <v>289</v>
      </c>
      <c r="D55"/>
      <c r="E55" s="53">
        <v>0.4027777777777778</v>
      </c>
      <c r="F55"/>
    </row>
    <row r="56" spans="1:6" ht="12.75">
      <c r="A56" s="34">
        <f>A42-A40</f>
        <v>69.20000000000002</v>
      </c>
      <c r="B56" s="18">
        <f>0.3048*2164</f>
        <v>659.5872</v>
      </c>
      <c r="C56" t="s">
        <v>278</v>
      </c>
      <c r="D56"/>
      <c r="E56" s="53">
        <v>0.4548611111111111</v>
      </c>
      <c r="F56"/>
    </row>
    <row r="57" spans="1:6" ht="12.75">
      <c r="A57" s="46">
        <f>A42-A39</f>
        <v>93.70906000000002</v>
      </c>
      <c r="B57"/>
      <c r="C57" t="s">
        <v>288</v>
      </c>
      <c r="D57" t="s">
        <v>286</v>
      </c>
      <c r="E57" s="53">
        <v>0.4861111111111111</v>
      </c>
      <c r="F57"/>
    </row>
    <row r="58" spans="1:6" ht="12.75">
      <c r="A58" s="34">
        <f>A42-A38</f>
        <v>112.50000000000001</v>
      </c>
      <c r="B58" s="18">
        <f>0.3048*2158</f>
        <v>657.7584</v>
      </c>
      <c r="C58" t="s">
        <v>277</v>
      </c>
      <c r="D58" t="s">
        <v>246</v>
      </c>
      <c r="E58" s="53">
        <v>0.5069444444444444</v>
      </c>
      <c r="F58"/>
    </row>
    <row r="59" spans="1:6" ht="12.75">
      <c r="A59" s="34">
        <f>A42-A37</f>
        <v>112.50000000000001</v>
      </c>
      <c r="B59" s="18">
        <f>0.3048*2158</f>
        <v>657.7584</v>
      </c>
      <c r="C59" t="s">
        <v>230</v>
      </c>
      <c r="D59" t="s">
        <v>241</v>
      </c>
      <c r="E59" s="53">
        <v>0.5277777777777778</v>
      </c>
      <c r="F59"/>
    </row>
    <row r="60" spans="1:6" ht="12.75">
      <c r="A60" s="18">
        <f>A65-52.13</f>
        <v>124.70000000000002</v>
      </c>
      <c r="B60" s="18">
        <f>0.3048*2916</f>
        <v>888.7968000000001</v>
      </c>
      <c r="C60" t="s">
        <v>229</v>
      </c>
      <c r="D60" t="s">
        <v>286</v>
      </c>
      <c r="E60" s="53">
        <v>0.5486111111111112</v>
      </c>
      <c r="F60"/>
    </row>
    <row r="61" spans="1:5" ht="12.75">
      <c r="A61" s="34">
        <f>A42-A36</f>
        <v>145</v>
      </c>
      <c r="B61" s="18">
        <f>0.3048*2885</f>
        <v>879.3480000000001</v>
      </c>
      <c r="C61" t="s">
        <v>228</v>
      </c>
      <c r="D61"/>
      <c r="E61" s="39">
        <v>0.5347222222222222</v>
      </c>
    </row>
    <row r="62" spans="1:5" ht="12.75">
      <c r="A62" s="34">
        <f>A42-A35</f>
        <v>155.10000000000002</v>
      </c>
      <c r="B62" s="18">
        <f>0.3048*1871</f>
        <v>570.2808</v>
      </c>
      <c r="C62" t="s">
        <v>287</v>
      </c>
      <c r="D62" t="s">
        <v>286</v>
      </c>
      <c r="E62" s="40">
        <v>0.5555555555555556</v>
      </c>
    </row>
    <row r="63" spans="1:5" ht="12.75">
      <c r="A63" s="34">
        <f>A42-A34</f>
        <v>164.10000000000002</v>
      </c>
      <c r="B63" s="18">
        <f>0.3048*849</f>
        <v>258.77520000000004</v>
      </c>
      <c r="C63" t="s">
        <v>285</v>
      </c>
      <c r="D63" t="s">
        <v>286</v>
      </c>
      <c r="E63" s="40">
        <v>0.5729166666666666</v>
      </c>
    </row>
    <row r="64" spans="1:5" ht="12.75">
      <c r="A64" s="34">
        <f>A42-A33</f>
        <v>174.10000000000002</v>
      </c>
      <c r="B64" s="18">
        <v>0</v>
      </c>
      <c r="C64" t="s">
        <v>227</v>
      </c>
      <c r="D64" t="s">
        <v>246</v>
      </c>
      <c r="E64" s="40">
        <v>0.5972222222222222</v>
      </c>
    </row>
    <row r="65" spans="1:5" ht="12.75">
      <c r="A65" s="34">
        <f>A42-A32</f>
        <v>176.83</v>
      </c>
      <c r="B65" s="18">
        <v>0</v>
      </c>
      <c r="C65" t="s">
        <v>225</v>
      </c>
      <c r="D65" t="s">
        <v>246</v>
      </c>
      <c r="E65" s="39">
        <v>0.6041666666666666</v>
      </c>
    </row>
    <row r="66" spans="1:4" ht="12.75">
      <c r="A66"/>
      <c r="B66"/>
      <c r="C66" t="s">
        <v>239</v>
      </c>
      <c r="D66"/>
    </row>
    <row r="67" spans="1:4" ht="12.75">
      <c r="A67"/>
      <c r="B67"/>
      <c r="C67" t="s">
        <v>233</v>
      </c>
      <c r="D67"/>
    </row>
    <row r="68" spans="1:4" ht="12.75">
      <c r="A68"/>
      <c r="B68"/>
      <c r="C68" t="s">
        <v>234</v>
      </c>
      <c r="D68"/>
    </row>
    <row r="69" ht="12.75">
      <c r="C69" s="19" t="s">
        <v>290</v>
      </c>
    </row>
    <row r="70" ht="12.75">
      <c r="C70" t="s">
        <v>235</v>
      </c>
    </row>
    <row r="71" spans="1:255" ht="12.75">
      <c r="A71"/>
      <c r="B71"/>
      <c r="C71" t="s">
        <v>236</v>
      </c>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ht="12.75">
      <c r="C82"/>
    </row>
    <row r="83" ht="12.75">
      <c r="C83"/>
    </row>
    <row r="84" ht="12.75">
      <c r="C84"/>
    </row>
    <row r="85" ht="12.75">
      <c r="C85"/>
    </row>
    <row r="86" ht="12.75">
      <c r="C86"/>
    </row>
    <row r="110" spans="1:255"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row>
    <row r="116" spans="1:255"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row>
    <row r="117" spans="1:255"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1:255"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row>
    <row r="119" spans="1:255"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row>
    <row r="120" spans="1:255"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row>
    <row r="121" spans="1:255"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row>
    <row r="122" spans="1:255"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row>
    <row r="123" spans="1:255"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row>
    <row r="124" spans="1:255"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row>
    <row r="125" spans="1:255"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row>
    <row r="126" spans="1:255"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row>
    <row r="127" spans="1:255"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row>
    <row r="128" spans="1:255"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row>
    <row r="129" spans="1:255"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row>
    <row r="130" spans="1:255"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row>
    <row r="131" spans="1:255"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row>
    <row r="132" spans="1:255"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row>
    <row r="133" spans="1:255"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row>
    <row r="134" spans="1:255"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row>
    <row r="135" spans="1:255"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row>
    <row r="136" spans="1:255"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row>
    <row r="138" spans="1:255"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row>
    <row r="139" spans="1:255"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row>
    <row r="140" spans="1:255"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row>
    <row r="141" spans="1:255"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row>
    <row r="142" spans="1:255"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row>
    <row r="143" spans="1:255"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row>
    <row r="144" spans="1:255"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row>
    <row r="145" spans="1:255"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row>
    <row r="146" spans="1:255"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row>
    <row r="147" spans="1:255"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row>
    <row r="148" spans="1:255"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row>
    <row r="149" spans="1:255"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xl/worksheets/sheet9.xml><?xml version="1.0" encoding="utf-8"?>
<worksheet xmlns="http://schemas.openxmlformats.org/spreadsheetml/2006/main" xmlns:r="http://schemas.openxmlformats.org/officeDocument/2006/relationships">
  <dimension ref="A1:K177"/>
  <sheetViews>
    <sheetView zoomScale="80" zoomScaleNormal="80" workbookViewId="0" topLeftCell="A1">
      <selection activeCell="A1" sqref="A1"/>
    </sheetView>
  </sheetViews>
  <sheetFormatPr defaultColWidth="12.57421875" defaultRowHeight="12.75"/>
  <cols>
    <col min="1" max="2" width="6.421875" style="0" customWidth="1"/>
    <col min="3" max="3" width="26.57421875" style="0" customWidth="1"/>
    <col min="4" max="4" width="1.8515625" style="0" customWidth="1"/>
    <col min="5" max="16384" width="11.57421875" style="0" customWidth="1"/>
  </cols>
  <sheetData>
    <row r="1" spans="1:3" ht="12.75">
      <c r="A1" s="3">
        <v>1960</v>
      </c>
      <c r="C1" s="3" t="s">
        <v>34</v>
      </c>
    </row>
    <row r="2" spans="1:5" ht="12.75">
      <c r="A2" s="50" t="s">
        <v>2</v>
      </c>
      <c r="B2" s="36" t="s">
        <v>222</v>
      </c>
      <c r="C2" s="42" t="s">
        <v>223</v>
      </c>
      <c r="D2" s="19"/>
      <c r="E2" s="41" t="s">
        <v>57</v>
      </c>
    </row>
    <row r="3" spans="1:5" ht="12.75">
      <c r="A3" s="16"/>
      <c r="C3" s="35" t="s">
        <v>224</v>
      </c>
      <c r="D3" s="19"/>
      <c r="E3">
        <v>6</v>
      </c>
    </row>
    <row r="4" spans="1:5" ht="12.75">
      <c r="A4" s="16"/>
      <c r="C4" s="19"/>
      <c r="D4" s="19"/>
      <c r="E4" s="43" t="s">
        <v>15</v>
      </c>
    </row>
    <row r="5" spans="1:5" ht="12.75">
      <c r="A5">
        <v>0</v>
      </c>
      <c r="B5" s="17">
        <f>0.3048*38</f>
        <v>11.5824</v>
      </c>
      <c r="C5" s="19" t="s">
        <v>245</v>
      </c>
      <c r="D5" s="19" t="s">
        <v>241</v>
      </c>
      <c r="E5" s="39">
        <v>0.375</v>
      </c>
    </row>
    <row r="6" spans="1:5" ht="12.75">
      <c r="A6">
        <v>4</v>
      </c>
      <c r="B6" s="17">
        <f>0.3048*40</f>
        <v>12.192</v>
      </c>
      <c r="C6" s="19" t="s">
        <v>292</v>
      </c>
      <c r="D6" s="47" t="s">
        <v>286</v>
      </c>
      <c r="E6" s="39">
        <v>0.38055555555555554</v>
      </c>
    </row>
    <row r="7" spans="1:5" ht="12.75">
      <c r="A7">
        <v>8</v>
      </c>
      <c r="B7" s="17">
        <f>0.3048*222</f>
        <v>67.6656</v>
      </c>
      <c r="C7" s="19" t="s">
        <v>293</v>
      </c>
      <c r="D7" s="47" t="s">
        <v>286</v>
      </c>
      <c r="E7" s="39">
        <v>0.3854166666666667</v>
      </c>
    </row>
    <row r="8" spans="1:5" ht="12.75">
      <c r="A8">
        <v>20</v>
      </c>
      <c r="B8" s="17">
        <f>0.3048*197</f>
        <v>60.0456</v>
      </c>
      <c r="C8" s="19" t="s">
        <v>294</v>
      </c>
      <c r="D8" s="47" t="s">
        <v>286</v>
      </c>
      <c r="E8" s="39">
        <v>0.3958333333333333</v>
      </c>
    </row>
    <row r="9" spans="1:5" ht="12.75">
      <c r="A9">
        <v>35</v>
      </c>
      <c r="B9" s="17">
        <f>0.3048*92</f>
        <v>28.041600000000003</v>
      </c>
      <c r="C9" s="19" t="s">
        <v>295</v>
      </c>
      <c r="D9" s="47" t="s">
        <v>286</v>
      </c>
      <c r="E9" s="39">
        <v>0.4097222222222222</v>
      </c>
    </row>
    <row r="10" spans="1:5" ht="12.75">
      <c r="A10">
        <v>43</v>
      </c>
      <c r="B10" s="17">
        <f>0.3048*50</f>
        <v>15.24</v>
      </c>
      <c r="C10" s="19" t="s">
        <v>296</v>
      </c>
      <c r="D10" s="47" t="s">
        <v>286</v>
      </c>
      <c r="E10" s="39">
        <v>0.4166666666666667</v>
      </c>
    </row>
    <row r="11" spans="1:5" ht="12.75">
      <c r="A11">
        <v>59</v>
      </c>
      <c r="B11" s="17">
        <f>0.3048*36</f>
        <v>10.972800000000001</v>
      </c>
      <c r="C11" s="19" t="s">
        <v>247</v>
      </c>
      <c r="D11" s="47"/>
      <c r="E11" s="39">
        <v>0.42916666666666664</v>
      </c>
    </row>
    <row r="12" spans="1:5" ht="12.75">
      <c r="A12">
        <v>73</v>
      </c>
      <c r="B12" s="17">
        <f>0.3048*339</f>
        <v>103.3272</v>
      </c>
      <c r="C12" s="19" t="s">
        <v>248</v>
      </c>
      <c r="D12" s="47"/>
      <c r="E12" s="39">
        <v>0.44583333333333336</v>
      </c>
    </row>
    <row r="13" spans="1:5" ht="12.75">
      <c r="A13">
        <v>84</v>
      </c>
      <c r="B13" s="17">
        <f>0.3048*300</f>
        <v>91.44</v>
      </c>
      <c r="C13" s="19" t="s">
        <v>297</v>
      </c>
      <c r="D13" s="47" t="s">
        <v>286</v>
      </c>
      <c r="E13" s="39">
        <v>0.4534722222222222</v>
      </c>
    </row>
    <row r="14" spans="1:5" ht="12.75">
      <c r="A14">
        <v>98</v>
      </c>
      <c r="B14" s="17">
        <f>0.3048*246</f>
        <v>74.9808</v>
      </c>
      <c r="C14" t="s">
        <v>298</v>
      </c>
      <c r="D14" s="47" t="s">
        <v>286</v>
      </c>
      <c r="E14" s="39">
        <v>0.46319444444444446</v>
      </c>
    </row>
    <row r="15" spans="1:5" ht="12.75">
      <c r="A15">
        <v>107</v>
      </c>
      <c r="B15" s="17">
        <f>0.3048*236</f>
        <v>71.9328</v>
      </c>
      <c r="C15" t="s">
        <v>299</v>
      </c>
      <c r="D15" s="47" t="s">
        <v>286</v>
      </c>
      <c r="E15" s="39">
        <v>0.46805555555555556</v>
      </c>
    </row>
    <row r="16" spans="1:5" ht="12.75">
      <c r="A16">
        <v>115</v>
      </c>
      <c r="B16" s="17">
        <f>0.3048*232</f>
        <v>70.7136</v>
      </c>
      <c r="C16" t="s">
        <v>300</v>
      </c>
      <c r="D16" s="47"/>
      <c r="E16" s="39">
        <v>0.4756944444444444</v>
      </c>
    </row>
    <row r="17" spans="1:5" ht="12.75">
      <c r="A17">
        <v>123</v>
      </c>
      <c r="B17" s="17">
        <f>0.3048*175</f>
        <v>53.34</v>
      </c>
      <c r="C17" t="s">
        <v>301</v>
      </c>
      <c r="D17" s="47" t="s">
        <v>286</v>
      </c>
      <c r="E17" s="39">
        <v>0.4791666666666667</v>
      </c>
    </row>
    <row r="18" spans="1:5" ht="12.75">
      <c r="A18">
        <v>128</v>
      </c>
      <c r="B18" s="17">
        <f>0.3048*236</f>
        <v>71.9328</v>
      </c>
      <c r="C18" t="s">
        <v>302</v>
      </c>
      <c r="D18" s="47" t="s">
        <v>286</v>
      </c>
      <c r="E18" s="39">
        <v>0.48541666666666666</v>
      </c>
    </row>
    <row r="19" spans="1:5" ht="12.75">
      <c r="A19">
        <v>142</v>
      </c>
      <c r="B19" s="17">
        <f>0.3048*246</f>
        <v>74.9808</v>
      </c>
      <c r="C19" t="s">
        <v>303</v>
      </c>
      <c r="D19" s="47" t="s">
        <v>286</v>
      </c>
      <c r="E19" s="39">
        <v>0.4965277777777778</v>
      </c>
    </row>
    <row r="20" spans="1:5" ht="12.75">
      <c r="A20">
        <v>150</v>
      </c>
      <c r="B20" s="17">
        <f>0.3048*240</f>
        <v>73.152</v>
      </c>
      <c r="C20" t="s">
        <v>304</v>
      </c>
      <c r="D20" s="47" t="s">
        <v>286</v>
      </c>
      <c r="E20" s="60" t="s">
        <v>286</v>
      </c>
    </row>
    <row r="21" spans="1:5" ht="12.75">
      <c r="A21">
        <v>153</v>
      </c>
      <c r="B21" s="17">
        <f>0.3048*282</f>
        <v>85.95360000000001</v>
      </c>
      <c r="C21" t="s">
        <v>305</v>
      </c>
      <c r="D21" s="47" t="s">
        <v>286</v>
      </c>
      <c r="E21" s="39">
        <v>0.50625</v>
      </c>
    </row>
    <row r="22" spans="1:5" ht="12.75">
      <c r="A22">
        <v>156</v>
      </c>
      <c r="B22" s="17">
        <f>0.3048*260</f>
        <v>79.248</v>
      </c>
      <c r="C22" t="s">
        <v>306</v>
      </c>
      <c r="D22" s="47" t="s">
        <v>286</v>
      </c>
      <c r="E22" s="60" t="s">
        <v>286</v>
      </c>
    </row>
    <row r="23" spans="1:5" ht="12.75">
      <c r="A23">
        <v>163</v>
      </c>
      <c r="B23" s="17">
        <f>0.3048*328</f>
        <v>99.9744</v>
      </c>
      <c r="C23" t="s">
        <v>307</v>
      </c>
      <c r="D23" s="47" t="s">
        <v>286</v>
      </c>
      <c r="E23" s="39">
        <v>0.5131944444444444</v>
      </c>
    </row>
    <row r="24" spans="1:5" ht="12.75">
      <c r="A24">
        <v>172</v>
      </c>
      <c r="B24" s="17">
        <f>0.3048*310</f>
        <v>94.488</v>
      </c>
      <c r="C24" t="s">
        <v>308</v>
      </c>
      <c r="D24" s="47" t="s">
        <v>286</v>
      </c>
      <c r="E24" s="60" t="s">
        <v>286</v>
      </c>
    </row>
    <row r="25" spans="1:5" ht="12.75">
      <c r="A25">
        <v>181</v>
      </c>
      <c r="B25" s="17">
        <f>0.3048*354</f>
        <v>107.89920000000001</v>
      </c>
      <c r="C25" s="19" t="s">
        <v>249</v>
      </c>
      <c r="D25" s="19"/>
      <c r="E25" s="39">
        <v>0.5270833333333333</v>
      </c>
    </row>
    <row r="26" spans="1:5" ht="12.75">
      <c r="A26">
        <v>196</v>
      </c>
      <c r="B26" s="17">
        <f>0.3048*461</f>
        <v>140.5128</v>
      </c>
      <c r="C26" s="19" t="s">
        <v>309</v>
      </c>
      <c r="D26" s="47" t="s">
        <v>286</v>
      </c>
      <c r="E26" s="39">
        <v>0.5381944444444444</v>
      </c>
    </row>
    <row r="27" spans="1:5" ht="12.75">
      <c r="A27">
        <v>216</v>
      </c>
      <c r="B27" s="17">
        <f>0.3048*546</f>
        <v>166.4208</v>
      </c>
      <c r="C27" s="19" t="s">
        <v>250</v>
      </c>
      <c r="D27" s="47" t="s">
        <v>286</v>
      </c>
      <c r="E27" s="39">
        <v>0.5555555555555556</v>
      </c>
    </row>
    <row r="28" spans="1:5" ht="12.75">
      <c r="A28">
        <v>231</v>
      </c>
      <c r="B28" s="17">
        <f>0.3048*621</f>
        <v>189.2808</v>
      </c>
      <c r="C28" s="19" t="s">
        <v>310</v>
      </c>
      <c r="D28" s="47" t="s">
        <v>286</v>
      </c>
      <c r="E28" s="39">
        <v>0.5673611111111111</v>
      </c>
    </row>
    <row r="29" spans="1:5" ht="12.75">
      <c r="A29">
        <v>240</v>
      </c>
      <c r="B29" s="17">
        <f>0.3048*731</f>
        <v>222.80880000000002</v>
      </c>
      <c r="C29" s="19" t="s">
        <v>311</v>
      </c>
      <c r="D29" s="47" t="s">
        <v>286</v>
      </c>
      <c r="E29" s="39">
        <v>0.5743055555555555</v>
      </c>
    </row>
    <row r="30" spans="1:5" ht="12.75">
      <c r="A30">
        <v>248</v>
      </c>
      <c r="B30" s="17">
        <f>0.3048*879</f>
        <v>267.9192</v>
      </c>
      <c r="C30" s="19" t="s">
        <v>312</v>
      </c>
      <c r="D30" s="47" t="s">
        <v>286</v>
      </c>
      <c r="E30" s="39">
        <v>0.5819444444444445</v>
      </c>
    </row>
    <row r="31" spans="1:5" ht="12.75">
      <c r="A31">
        <v>257</v>
      </c>
      <c r="B31" s="17">
        <f>0.3048*1280</f>
        <v>390.144</v>
      </c>
      <c r="C31" s="19" t="s">
        <v>313</v>
      </c>
      <c r="D31" s="47" t="s">
        <v>286</v>
      </c>
      <c r="E31" s="39">
        <v>0.5923611111111111</v>
      </c>
    </row>
    <row r="32" spans="1:5" ht="12.75">
      <c r="A32">
        <v>269</v>
      </c>
      <c r="B32" s="17">
        <f>0.3048*1688</f>
        <v>514.5024000000001</v>
      </c>
      <c r="C32" s="19" t="s">
        <v>252</v>
      </c>
      <c r="D32" s="47" t="s">
        <v>286</v>
      </c>
      <c r="E32" s="39">
        <v>0.6076388888888888</v>
      </c>
    </row>
    <row r="33" spans="1:5" ht="12.75">
      <c r="A33">
        <v>281</v>
      </c>
      <c r="B33" s="17">
        <f>0.3048*1456</f>
        <v>443.78880000000004</v>
      </c>
      <c r="C33" t="s">
        <v>314</v>
      </c>
      <c r="D33" s="47" t="s">
        <v>286</v>
      </c>
      <c r="E33" s="39">
        <v>0.6215277777777778</v>
      </c>
    </row>
    <row r="34" spans="1:5" ht="12.75">
      <c r="A34">
        <v>294</v>
      </c>
      <c r="B34" s="17">
        <f>0.3048*1954</f>
        <v>595.5792</v>
      </c>
      <c r="C34" t="s">
        <v>315</v>
      </c>
      <c r="D34" s="47" t="s">
        <v>286</v>
      </c>
      <c r="E34" s="39">
        <v>0.6326388888888889</v>
      </c>
    </row>
    <row r="35" spans="1:5" ht="12.75">
      <c r="A35">
        <v>306</v>
      </c>
      <c r="B35" s="17">
        <f>0.3048*2127</f>
        <v>648.3096</v>
      </c>
      <c r="C35" t="s">
        <v>253</v>
      </c>
      <c r="D35" s="47" t="s">
        <v>286</v>
      </c>
      <c r="E35" s="39">
        <v>0.6423611111111112</v>
      </c>
    </row>
    <row r="36" spans="1:5" ht="12.75">
      <c r="A36">
        <v>319</v>
      </c>
      <c r="B36" s="17">
        <f>0.3048*2337</f>
        <v>712.3176000000001</v>
      </c>
      <c r="C36" t="s">
        <v>125</v>
      </c>
      <c r="D36" s="47"/>
      <c r="E36" s="39">
        <v>0.6527777777777778</v>
      </c>
    </row>
    <row r="37" spans="1:5" ht="12.75">
      <c r="A37">
        <v>330</v>
      </c>
      <c r="B37" s="17">
        <f>0.3048*2212</f>
        <v>674.2176000000001</v>
      </c>
      <c r="C37" t="s">
        <v>254</v>
      </c>
      <c r="D37" s="47"/>
      <c r="E37" s="39">
        <v>0.6625</v>
      </c>
    </row>
    <row r="38" spans="1:5" ht="12.75">
      <c r="A38">
        <v>342</v>
      </c>
      <c r="B38" s="17">
        <f>0.3048*2056</f>
        <v>626.6688</v>
      </c>
      <c r="C38" s="19" t="s">
        <v>316</v>
      </c>
      <c r="D38" s="47" t="s">
        <v>286</v>
      </c>
      <c r="E38" s="39">
        <v>0.6729166666666667</v>
      </c>
    </row>
    <row r="39" spans="1:5" ht="12.75">
      <c r="A39">
        <v>354</v>
      </c>
      <c r="B39" s="17">
        <f>0.3048*1957</f>
        <v>596.4936</v>
      </c>
      <c r="C39" t="s">
        <v>317</v>
      </c>
      <c r="D39" s="47" t="s">
        <v>286</v>
      </c>
      <c r="E39" s="39">
        <v>0.6840277777777778</v>
      </c>
    </row>
    <row r="40" spans="1:5" ht="12.75">
      <c r="A40">
        <v>369</v>
      </c>
      <c r="B40" s="17">
        <f>0.3048*1890</f>
        <v>576.072</v>
      </c>
      <c r="C40" t="s">
        <v>318</v>
      </c>
      <c r="D40" s="47" t="s">
        <v>286</v>
      </c>
      <c r="E40" s="39">
        <v>0.6979166666666666</v>
      </c>
    </row>
    <row r="41" spans="1:5" ht="12.75">
      <c r="A41">
        <v>376</v>
      </c>
      <c r="B41" s="17">
        <f>0.3048*1732</f>
        <v>527.9136</v>
      </c>
      <c r="C41" s="39" t="s">
        <v>255</v>
      </c>
      <c r="D41" s="47"/>
      <c r="E41" s="39">
        <v>0.7048611111111112</v>
      </c>
    </row>
    <row r="42" spans="1:5" ht="12.75">
      <c r="A42">
        <v>388</v>
      </c>
      <c r="B42" s="17">
        <f>0.3048*1432</f>
        <v>436.47360000000003</v>
      </c>
      <c r="C42" t="s">
        <v>319</v>
      </c>
      <c r="D42" s="47" t="s">
        <v>286</v>
      </c>
      <c r="E42" s="39">
        <v>0.7256944444444444</v>
      </c>
    </row>
    <row r="43" spans="1:5" ht="12.75">
      <c r="A43">
        <v>393</v>
      </c>
      <c r="B43" s="17">
        <f>0.3048*1368</f>
        <v>416.9664</v>
      </c>
      <c r="C43" s="19" t="s">
        <v>256</v>
      </c>
      <c r="D43" s="19" t="s">
        <v>246</v>
      </c>
      <c r="E43" s="39">
        <v>0.7326388888888888</v>
      </c>
    </row>
    <row r="44" spans="1:5" ht="12.75">
      <c r="A44">
        <v>393</v>
      </c>
      <c r="B44" s="17">
        <f>0.3048*1368</f>
        <v>416.9664</v>
      </c>
      <c r="C44" s="19" t="s">
        <v>256</v>
      </c>
      <c r="D44" s="19" t="s">
        <v>241</v>
      </c>
      <c r="E44" s="39">
        <v>0.7395833333333334</v>
      </c>
    </row>
    <row r="45" spans="1:5" ht="12.75">
      <c r="A45">
        <v>401</v>
      </c>
      <c r="B45" s="17">
        <f>0.3048*1176</f>
        <v>358.44480000000004</v>
      </c>
      <c r="C45" t="s">
        <v>320</v>
      </c>
      <c r="D45" s="47" t="s">
        <v>286</v>
      </c>
      <c r="E45" s="39">
        <v>0.7465277777777778</v>
      </c>
    </row>
    <row r="46" spans="1:5" ht="12.75">
      <c r="A46">
        <v>413</v>
      </c>
      <c r="B46" s="17">
        <f>0.3048*1006</f>
        <v>306.6288</v>
      </c>
      <c r="C46" t="s">
        <v>321</v>
      </c>
      <c r="D46" s="47" t="s">
        <v>286</v>
      </c>
      <c r="E46" s="39">
        <v>0.7555555555555555</v>
      </c>
    </row>
    <row r="47" spans="1:5" ht="12.75">
      <c r="A47">
        <v>429</v>
      </c>
      <c r="B47" s="17">
        <f>0.3048*810</f>
        <v>246.888</v>
      </c>
      <c r="C47" t="s">
        <v>322</v>
      </c>
      <c r="D47" s="47" t="s">
        <v>286</v>
      </c>
      <c r="E47" s="39">
        <v>0.7666666666666667</v>
      </c>
    </row>
    <row r="48" spans="1:5" ht="12.75">
      <c r="A48">
        <v>448</v>
      </c>
      <c r="B48" s="17">
        <f>0.3048*537</f>
        <v>163.6776</v>
      </c>
      <c r="C48" t="s">
        <v>323</v>
      </c>
      <c r="D48" s="47"/>
      <c r="E48" s="39">
        <v>0.7777777777777778</v>
      </c>
    </row>
    <row r="49" spans="1:5" ht="12.75">
      <c r="A49">
        <v>462</v>
      </c>
      <c r="B49" s="17">
        <f>0.3048*433</f>
        <v>131.9784</v>
      </c>
      <c r="C49" t="s">
        <v>324</v>
      </c>
      <c r="D49" s="47" t="s">
        <v>286</v>
      </c>
      <c r="E49" s="39">
        <v>0.7888888888888889</v>
      </c>
    </row>
    <row r="50" spans="1:5" ht="12.75">
      <c r="A50">
        <v>479</v>
      </c>
      <c r="B50" s="17">
        <f>0.3048*362</f>
        <v>110.33760000000001</v>
      </c>
      <c r="C50" s="19" t="s">
        <v>257</v>
      </c>
      <c r="D50" s="47"/>
      <c r="E50" s="39">
        <v>0.8013888888888889</v>
      </c>
    </row>
    <row r="51" spans="1:5" ht="12.75">
      <c r="A51">
        <v>484</v>
      </c>
      <c r="B51" s="17">
        <f>0.3048*367</f>
        <v>111.86160000000001</v>
      </c>
      <c r="C51" s="19" t="s">
        <v>325</v>
      </c>
      <c r="D51" s="47" t="s">
        <v>286</v>
      </c>
      <c r="E51" s="39">
        <v>0.8097222222222222</v>
      </c>
    </row>
    <row r="52" spans="1:5" ht="12.75">
      <c r="A52">
        <v>493</v>
      </c>
      <c r="B52" s="17">
        <f>0.3048*368</f>
        <v>112.16640000000001</v>
      </c>
      <c r="C52" s="19" t="s">
        <v>326</v>
      </c>
      <c r="D52" s="47" t="s">
        <v>286</v>
      </c>
      <c r="E52" s="39">
        <v>0.8152777777777778</v>
      </c>
    </row>
    <row r="53" spans="1:5" ht="12.75">
      <c r="A53">
        <v>511</v>
      </c>
      <c r="B53" s="17">
        <f>0.3048*368</f>
        <v>112.16640000000001</v>
      </c>
      <c r="C53" s="19" t="s">
        <v>327</v>
      </c>
      <c r="D53" s="47" t="s">
        <v>286</v>
      </c>
      <c r="E53" s="39">
        <v>0.8270833333333333</v>
      </c>
    </row>
    <row r="54" spans="1:5" ht="12.75">
      <c r="A54">
        <v>523</v>
      </c>
      <c r="B54" s="17">
        <f>0.3048*406</f>
        <v>123.7488</v>
      </c>
      <c r="C54" s="19" t="s">
        <v>328</v>
      </c>
      <c r="D54" s="47" t="s">
        <v>286</v>
      </c>
      <c r="E54" s="39">
        <v>0.8361111111111111</v>
      </c>
    </row>
    <row r="55" spans="1:5" ht="12.75">
      <c r="A55">
        <v>541</v>
      </c>
      <c r="B55" s="17">
        <f>0.3048*465</f>
        <v>141.732</v>
      </c>
      <c r="C55" s="19" t="s">
        <v>329</v>
      </c>
      <c r="D55" s="47" t="s">
        <v>286</v>
      </c>
      <c r="E55" s="39">
        <v>0.8486111111111111</v>
      </c>
    </row>
    <row r="56" spans="1:5" ht="12.75">
      <c r="A56">
        <v>550</v>
      </c>
      <c r="B56" s="17">
        <f>0.3048*520</f>
        <v>158.496</v>
      </c>
      <c r="C56" s="19" t="s">
        <v>330</v>
      </c>
      <c r="D56" s="47" t="s">
        <v>286</v>
      </c>
      <c r="E56" s="39">
        <v>0.8555555555555555</v>
      </c>
    </row>
    <row r="57" spans="1:5" ht="12.75">
      <c r="A57">
        <v>561</v>
      </c>
      <c r="B57" s="17">
        <f>0.3048*609</f>
        <v>185.6232</v>
      </c>
      <c r="C57" s="19" t="s">
        <v>331</v>
      </c>
      <c r="D57" s="47" t="s">
        <v>286</v>
      </c>
      <c r="E57" s="39">
        <v>0.8645833333333334</v>
      </c>
    </row>
    <row r="58" spans="1:5" ht="12.75">
      <c r="A58">
        <v>573</v>
      </c>
      <c r="B58" s="17">
        <f>0.3048*448</f>
        <v>136.5504</v>
      </c>
      <c r="C58" s="19" t="s">
        <v>258</v>
      </c>
      <c r="D58" s="19" t="s">
        <v>246</v>
      </c>
      <c r="E58" s="39">
        <v>0.875</v>
      </c>
    </row>
    <row r="59" spans="1:4" ht="12.75">
      <c r="A59" s="16"/>
      <c r="C59" s="19" t="s">
        <v>290</v>
      </c>
      <c r="D59" s="19" t="s">
        <v>332</v>
      </c>
    </row>
    <row r="60" ht="12.75">
      <c r="C60" t="s">
        <v>259</v>
      </c>
    </row>
    <row r="62" spans="1:5" ht="12.75">
      <c r="A62" s="50" t="s">
        <v>2</v>
      </c>
      <c r="B62" s="36" t="s">
        <v>222</v>
      </c>
      <c r="C62" s="42" t="s">
        <v>237</v>
      </c>
      <c r="D62" s="19"/>
      <c r="E62" s="41" t="s">
        <v>57</v>
      </c>
    </row>
    <row r="63" spans="1:5" ht="12.75">
      <c r="A63" s="16"/>
      <c r="C63" s="35" t="s">
        <v>224</v>
      </c>
      <c r="D63" s="19"/>
      <c r="E63">
        <v>5</v>
      </c>
    </row>
    <row r="64" spans="1:5" ht="12.75">
      <c r="A64" s="16"/>
      <c r="C64" s="19"/>
      <c r="D64" s="19"/>
      <c r="E64" s="43" t="s">
        <v>15</v>
      </c>
    </row>
    <row r="65" spans="1:5" ht="12.75">
      <c r="A65" s="17">
        <f>A58-A58</f>
        <v>0</v>
      </c>
      <c r="B65" s="17">
        <f>B58-B58</f>
        <v>0</v>
      </c>
      <c r="C65" s="19" t="s">
        <v>258</v>
      </c>
      <c r="D65" s="19" t="s">
        <v>241</v>
      </c>
      <c r="E65" s="39">
        <v>0.375</v>
      </c>
    </row>
    <row r="66" spans="1:5" ht="12.75">
      <c r="A66" s="17">
        <f>A58-A57</f>
        <v>12</v>
      </c>
      <c r="B66" s="17">
        <f>B57</f>
        <v>185.6232</v>
      </c>
      <c r="C66" s="19" t="s">
        <v>331</v>
      </c>
      <c r="D66" s="47" t="s">
        <v>286</v>
      </c>
      <c r="E66" s="39">
        <v>0.3854166666666667</v>
      </c>
    </row>
    <row r="67" spans="1:5" ht="12.75">
      <c r="A67" s="17">
        <f>A58-A56</f>
        <v>23</v>
      </c>
      <c r="B67" s="17">
        <f>B56</f>
        <v>158.496</v>
      </c>
      <c r="C67" s="19" t="s">
        <v>330</v>
      </c>
      <c r="D67" s="47" t="s">
        <v>286</v>
      </c>
      <c r="E67" s="39">
        <v>0.39444444444444443</v>
      </c>
    </row>
    <row r="68" spans="1:5" ht="12.75">
      <c r="A68" s="17">
        <f>A58-A55</f>
        <v>32</v>
      </c>
      <c r="B68" s="17">
        <f>B55</f>
        <v>141.732</v>
      </c>
      <c r="C68" s="19" t="s">
        <v>329</v>
      </c>
      <c r="D68" s="47" t="s">
        <v>286</v>
      </c>
      <c r="E68" s="39">
        <v>0.4013888888888889</v>
      </c>
    </row>
    <row r="69" spans="1:5" ht="12.75">
      <c r="A69" s="17">
        <f>A58-A54</f>
        <v>50</v>
      </c>
      <c r="B69" s="17">
        <f>B54</f>
        <v>123.7488</v>
      </c>
      <c r="C69" s="19" t="s">
        <v>328</v>
      </c>
      <c r="D69" s="47" t="s">
        <v>286</v>
      </c>
      <c r="E69" s="39">
        <v>0.41388888888888886</v>
      </c>
    </row>
    <row r="70" spans="1:5" ht="12.75">
      <c r="A70" s="17">
        <f>A58-A53</f>
        <v>62</v>
      </c>
      <c r="B70" s="17">
        <f>B53</f>
        <v>112.16640000000001</v>
      </c>
      <c r="C70" s="19" t="s">
        <v>327</v>
      </c>
      <c r="D70" s="47" t="s">
        <v>286</v>
      </c>
      <c r="E70" s="39">
        <v>0.42291666666666666</v>
      </c>
    </row>
    <row r="71" spans="1:5" ht="12.75">
      <c r="A71" s="17">
        <f>A58-A52</f>
        <v>80</v>
      </c>
      <c r="B71" s="17">
        <f>B52</f>
        <v>112.16640000000001</v>
      </c>
      <c r="C71" s="19" t="s">
        <v>326</v>
      </c>
      <c r="D71" s="47" t="s">
        <v>286</v>
      </c>
      <c r="E71" s="39">
        <v>0.43472222222222223</v>
      </c>
    </row>
    <row r="72" spans="1:5" ht="12.75">
      <c r="A72" s="17">
        <f>A58-A51</f>
        <v>89</v>
      </c>
      <c r="B72" s="17">
        <f>B51</f>
        <v>111.86160000000001</v>
      </c>
      <c r="C72" s="19" t="s">
        <v>325</v>
      </c>
      <c r="D72" s="47" t="s">
        <v>286</v>
      </c>
      <c r="E72" s="39">
        <v>0.44027777777777777</v>
      </c>
    </row>
    <row r="73" spans="1:5" ht="12.75">
      <c r="A73" s="17">
        <f>A58-A50</f>
        <v>94</v>
      </c>
      <c r="B73" s="17">
        <f>B50</f>
        <v>110.33760000000001</v>
      </c>
      <c r="C73" s="19" t="s">
        <v>257</v>
      </c>
      <c r="D73" s="47"/>
      <c r="E73" s="39">
        <v>0.4486111111111111</v>
      </c>
    </row>
    <row r="74" spans="1:5" ht="12.75">
      <c r="A74" s="17">
        <f>A58-A49</f>
        <v>111</v>
      </c>
      <c r="B74" s="17">
        <f>B49</f>
        <v>131.9784</v>
      </c>
      <c r="C74" t="s">
        <v>324</v>
      </c>
      <c r="D74" s="47" t="s">
        <v>286</v>
      </c>
      <c r="E74" s="39">
        <v>0.46111111111111114</v>
      </c>
    </row>
    <row r="75" spans="1:5" ht="12.75">
      <c r="A75" s="17">
        <f>A58-A48</f>
        <v>125</v>
      </c>
      <c r="B75" s="17">
        <f>B48</f>
        <v>163.6776</v>
      </c>
      <c r="C75" t="s">
        <v>323</v>
      </c>
      <c r="D75" s="47"/>
      <c r="E75" s="39">
        <v>0.4708333333333333</v>
      </c>
    </row>
    <row r="76" spans="1:5" ht="12.75">
      <c r="A76" s="17">
        <f>A58-A47</f>
        <v>144</v>
      </c>
      <c r="B76" s="17">
        <f>B47</f>
        <v>246.888</v>
      </c>
      <c r="C76" t="s">
        <v>322</v>
      </c>
      <c r="D76" s="47" t="s">
        <v>286</v>
      </c>
      <c r="E76" s="39">
        <v>0.48541666666666666</v>
      </c>
    </row>
    <row r="77" spans="1:5" ht="12.75">
      <c r="A77" s="17">
        <f>A58-A46</f>
        <v>160</v>
      </c>
      <c r="B77" s="17">
        <f>B46</f>
        <v>306.6288</v>
      </c>
      <c r="C77" t="s">
        <v>321</v>
      </c>
      <c r="D77" s="47" t="s">
        <v>286</v>
      </c>
      <c r="E77" s="39">
        <v>0.4965277777777778</v>
      </c>
    </row>
    <row r="78" spans="1:5" ht="12.75">
      <c r="A78" s="17">
        <f>A58-A45</f>
        <v>172</v>
      </c>
      <c r="B78" s="17">
        <f>B45</f>
        <v>358.44480000000004</v>
      </c>
      <c r="C78" t="s">
        <v>320</v>
      </c>
      <c r="D78" s="47" t="s">
        <v>286</v>
      </c>
      <c r="E78" s="39">
        <v>0.5055555555555555</v>
      </c>
    </row>
    <row r="79" spans="1:5" ht="12.75">
      <c r="A79" s="17">
        <f>A58-A44</f>
        <v>180</v>
      </c>
      <c r="B79" s="17">
        <f>B44</f>
        <v>416.9664</v>
      </c>
      <c r="C79" s="19" t="s">
        <v>256</v>
      </c>
      <c r="D79" s="19" t="s">
        <v>246</v>
      </c>
      <c r="E79" s="39">
        <v>0.5125</v>
      </c>
    </row>
    <row r="80" spans="1:5" ht="12.75">
      <c r="A80" s="17">
        <f>A58-A43</f>
        <v>180</v>
      </c>
      <c r="B80" s="17">
        <f>B43</f>
        <v>416.9664</v>
      </c>
      <c r="C80" s="19" t="s">
        <v>256</v>
      </c>
      <c r="D80" s="19" t="s">
        <v>241</v>
      </c>
      <c r="E80" s="39">
        <v>0.5173611111111112</v>
      </c>
    </row>
    <row r="81" spans="1:5" ht="12.75">
      <c r="A81" s="17">
        <f>A58-A42</f>
        <v>185</v>
      </c>
      <c r="B81" s="17">
        <f>B42</f>
        <v>436.47360000000003</v>
      </c>
      <c r="C81" t="s">
        <v>319</v>
      </c>
      <c r="D81" s="47" t="s">
        <v>286</v>
      </c>
      <c r="E81" s="39">
        <v>0.5236111111111111</v>
      </c>
    </row>
    <row r="82" spans="1:5" ht="12.75">
      <c r="A82" s="17">
        <f>A58-A41</f>
        <v>197</v>
      </c>
      <c r="B82" s="17">
        <f>B41</f>
        <v>527.9136</v>
      </c>
      <c r="C82" s="39" t="s">
        <v>255</v>
      </c>
      <c r="D82" s="47"/>
      <c r="E82" s="39">
        <v>0.5444444444444444</v>
      </c>
    </row>
    <row r="83" spans="1:5" ht="12.75">
      <c r="A83" s="17">
        <f>A58-A40</f>
        <v>204</v>
      </c>
      <c r="B83" s="17">
        <f>B40</f>
        <v>576.072</v>
      </c>
      <c r="C83" t="s">
        <v>318</v>
      </c>
      <c r="D83" s="47" t="s">
        <v>286</v>
      </c>
      <c r="E83" s="39">
        <v>0.5513888888888889</v>
      </c>
    </row>
    <row r="84" spans="1:5" ht="12.75">
      <c r="A84" s="17">
        <f>A58-A39</f>
        <v>219</v>
      </c>
      <c r="B84" s="17">
        <f>B39</f>
        <v>596.4936</v>
      </c>
      <c r="C84" t="s">
        <v>317</v>
      </c>
      <c r="D84" s="47" t="s">
        <v>286</v>
      </c>
      <c r="E84" s="39">
        <v>0.5645833333333333</v>
      </c>
    </row>
    <row r="85" spans="1:5" ht="12.75">
      <c r="A85" s="17">
        <f>A58-A38</f>
        <v>231</v>
      </c>
      <c r="B85" s="17">
        <f>B38</f>
        <v>626.6688</v>
      </c>
      <c r="C85" s="19" t="s">
        <v>316</v>
      </c>
      <c r="D85" s="47" t="s">
        <v>286</v>
      </c>
      <c r="E85" s="39">
        <v>0.5756944444444444</v>
      </c>
    </row>
    <row r="86" spans="1:5" ht="12.75">
      <c r="A86" s="17">
        <f>A58-A37</f>
        <v>243</v>
      </c>
      <c r="B86" s="17">
        <f>B37</f>
        <v>674.2176000000001</v>
      </c>
      <c r="C86" t="s">
        <v>254</v>
      </c>
      <c r="D86" s="47"/>
      <c r="E86" s="39">
        <v>0.5854166666666667</v>
      </c>
    </row>
    <row r="87" spans="1:5" ht="12.75">
      <c r="A87" s="17">
        <f>A58-A36</f>
        <v>254</v>
      </c>
      <c r="B87" s="17">
        <f>B36</f>
        <v>712.3176000000001</v>
      </c>
      <c r="C87" t="s">
        <v>125</v>
      </c>
      <c r="D87" s="47"/>
      <c r="E87" s="39">
        <v>0.5944444444444444</v>
      </c>
    </row>
    <row r="88" spans="1:5" ht="12.75">
      <c r="A88" s="17">
        <f>A58-A35</f>
        <v>267</v>
      </c>
      <c r="B88" s="17">
        <f>B35</f>
        <v>648.3096</v>
      </c>
      <c r="C88" t="s">
        <v>253</v>
      </c>
      <c r="D88" s="47" t="s">
        <v>286</v>
      </c>
      <c r="E88" s="39">
        <v>0.6034722222222222</v>
      </c>
    </row>
    <row r="89" spans="1:5" ht="12.75">
      <c r="A89" s="17">
        <f>A58-A34</f>
        <v>279</v>
      </c>
      <c r="B89" s="17">
        <f>B34</f>
        <v>595.5792</v>
      </c>
      <c r="C89" t="s">
        <v>315</v>
      </c>
      <c r="D89" s="47" t="s">
        <v>286</v>
      </c>
      <c r="E89" s="39">
        <v>0.6111111111111112</v>
      </c>
    </row>
    <row r="90" spans="1:5" ht="12.75">
      <c r="A90" s="17">
        <f>A58-A33</f>
        <v>292</v>
      </c>
      <c r="B90" s="17">
        <f>B33</f>
        <v>443.78880000000004</v>
      </c>
      <c r="C90" t="s">
        <v>314</v>
      </c>
      <c r="D90" s="47" t="s">
        <v>286</v>
      </c>
      <c r="E90" s="39">
        <v>0.6215277777777778</v>
      </c>
    </row>
    <row r="91" spans="1:5" ht="12.75">
      <c r="A91" s="17">
        <f>A58-A32</f>
        <v>304</v>
      </c>
      <c r="B91" s="17">
        <f>B32</f>
        <v>514.5024000000001</v>
      </c>
      <c r="C91" s="19" t="s">
        <v>252</v>
      </c>
      <c r="D91" s="47" t="s">
        <v>286</v>
      </c>
      <c r="E91" s="39">
        <v>0.6333333333333333</v>
      </c>
    </row>
    <row r="92" spans="1:5" ht="12.75">
      <c r="A92" s="17">
        <f>A58-A31</f>
        <v>316</v>
      </c>
      <c r="B92" s="17">
        <f>B31</f>
        <v>390.144</v>
      </c>
      <c r="C92" s="19" t="s">
        <v>313</v>
      </c>
      <c r="D92" s="47" t="s">
        <v>286</v>
      </c>
      <c r="E92" s="39">
        <v>0.64375</v>
      </c>
    </row>
    <row r="93" spans="1:5" ht="12.75">
      <c r="A93" s="17">
        <f>A58-A30</f>
        <v>325</v>
      </c>
      <c r="B93" s="17">
        <f>B30</f>
        <v>267.9192</v>
      </c>
      <c r="C93" s="19" t="s">
        <v>312</v>
      </c>
      <c r="D93" s="47" t="s">
        <v>286</v>
      </c>
      <c r="E93" s="39">
        <v>0.6513888888888889</v>
      </c>
    </row>
    <row r="94" spans="1:5" ht="12.75">
      <c r="A94" s="17">
        <f>A58-A29</f>
        <v>333</v>
      </c>
      <c r="B94" s="17">
        <f>B29</f>
        <v>222.80880000000002</v>
      </c>
      <c r="C94" s="19" t="s">
        <v>311</v>
      </c>
      <c r="D94" s="47" t="s">
        <v>286</v>
      </c>
      <c r="E94" s="39">
        <v>0.6583333333333333</v>
      </c>
    </row>
    <row r="95" spans="1:5" ht="12.75">
      <c r="A95" s="17">
        <f>A58-A28</f>
        <v>342</v>
      </c>
      <c r="B95" s="17">
        <f>B28</f>
        <v>189.2808</v>
      </c>
      <c r="C95" s="19" t="s">
        <v>310</v>
      </c>
      <c r="D95" s="47" t="s">
        <v>286</v>
      </c>
      <c r="E95" s="39">
        <v>0.6666666666666666</v>
      </c>
    </row>
    <row r="96" spans="1:5" ht="12.75">
      <c r="A96" s="17">
        <f>A58-A27</f>
        <v>357</v>
      </c>
      <c r="B96" s="17">
        <f>B27</f>
        <v>166.4208</v>
      </c>
      <c r="C96" s="19" t="s">
        <v>250</v>
      </c>
      <c r="D96" s="47" t="s">
        <v>286</v>
      </c>
      <c r="E96" s="39">
        <v>0.6826388888888889</v>
      </c>
    </row>
    <row r="97" spans="1:5" ht="12.75">
      <c r="A97" s="17">
        <f>A58-A26</f>
        <v>377</v>
      </c>
      <c r="B97" s="17">
        <f>B26</f>
        <v>140.5128</v>
      </c>
      <c r="C97" s="19" t="s">
        <v>309</v>
      </c>
      <c r="D97" s="47" t="s">
        <v>286</v>
      </c>
      <c r="E97" s="39">
        <v>0.6972222222222222</v>
      </c>
    </row>
    <row r="98" spans="1:5" ht="12.75">
      <c r="A98" s="17">
        <f>A58-A25</f>
        <v>392</v>
      </c>
      <c r="B98" s="17">
        <f>B25</f>
        <v>107.89920000000001</v>
      </c>
      <c r="C98" s="19" t="s">
        <v>249</v>
      </c>
      <c r="D98" s="19"/>
      <c r="E98" s="39">
        <v>0.7090277777777778</v>
      </c>
    </row>
    <row r="99" spans="1:5" ht="12.75">
      <c r="A99" s="17">
        <f>A58-A24</f>
        <v>401</v>
      </c>
      <c r="B99" s="17">
        <f>B24</f>
        <v>94.488</v>
      </c>
      <c r="C99" t="s">
        <v>308</v>
      </c>
      <c r="D99" s="47" t="s">
        <v>286</v>
      </c>
      <c r="E99" s="60" t="s">
        <v>286</v>
      </c>
    </row>
    <row r="100" spans="1:5" ht="12.75">
      <c r="A100" s="17">
        <f>A58-A23</f>
        <v>410</v>
      </c>
      <c r="B100" s="17">
        <f>B23</f>
        <v>99.9744</v>
      </c>
      <c r="C100" t="s">
        <v>307</v>
      </c>
      <c r="D100" s="47" t="s">
        <v>286</v>
      </c>
      <c r="E100" s="39">
        <v>0.7229166666666667</v>
      </c>
    </row>
    <row r="101" spans="1:5" ht="12.75">
      <c r="A101" s="17">
        <f>A58-A22</f>
        <v>417</v>
      </c>
      <c r="B101" s="17">
        <f>B22</f>
        <v>79.248</v>
      </c>
      <c r="C101" t="s">
        <v>306</v>
      </c>
      <c r="D101" s="47" t="s">
        <v>286</v>
      </c>
      <c r="E101" s="60" t="s">
        <v>286</v>
      </c>
    </row>
    <row r="102" spans="1:10" ht="12.75">
      <c r="A102" s="17">
        <f>A58-A21</f>
        <v>420</v>
      </c>
      <c r="B102" s="17">
        <f>B21</f>
        <v>85.95360000000001</v>
      </c>
      <c r="C102" t="s">
        <v>305</v>
      </c>
      <c r="D102" s="47" t="s">
        <v>286</v>
      </c>
      <c r="E102" s="39">
        <v>0.7305555555555555</v>
      </c>
      <c r="G102" s="32"/>
      <c r="I102" s="19"/>
      <c r="J102" s="19"/>
    </row>
    <row r="103" spans="1:10" ht="12.75">
      <c r="A103" s="17">
        <f>A58-A20</f>
        <v>423</v>
      </c>
      <c r="B103" s="17">
        <f>B20</f>
        <v>73.152</v>
      </c>
      <c r="C103" t="s">
        <v>304</v>
      </c>
      <c r="D103" s="47" t="s">
        <v>286</v>
      </c>
      <c r="E103" s="60" t="s">
        <v>286</v>
      </c>
      <c r="G103" s="32"/>
      <c r="I103" s="19"/>
      <c r="J103" s="19"/>
    </row>
    <row r="104" spans="1:10" ht="12.75">
      <c r="A104" s="17">
        <f>A58-A19</f>
        <v>431</v>
      </c>
      <c r="B104" s="17">
        <f>B19</f>
        <v>74.9808</v>
      </c>
      <c r="C104" t="s">
        <v>303</v>
      </c>
      <c r="D104" s="47" t="s">
        <v>286</v>
      </c>
      <c r="E104" s="39">
        <v>0.7395833333333334</v>
      </c>
      <c r="G104" s="32"/>
      <c r="I104" s="19"/>
      <c r="J104" s="19"/>
    </row>
    <row r="105" spans="1:10" ht="12.75">
      <c r="A105" s="17">
        <f>A58-A18</f>
        <v>445</v>
      </c>
      <c r="B105" s="17">
        <f>B18</f>
        <v>71.9328</v>
      </c>
      <c r="C105" t="s">
        <v>302</v>
      </c>
      <c r="D105" s="47" t="s">
        <v>286</v>
      </c>
      <c r="E105" s="39">
        <v>0.75</v>
      </c>
      <c r="G105" s="32"/>
      <c r="I105" s="39"/>
      <c r="J105" s="19"/>
    </row>
    <row r="106" spans="1:11" ht="12.75">
      <c r="A106" s="17">
        <f>A58-A17</f>
        <v>450</v>
      </c>
      <c r="B106" s="17">
        <f>B17</f>
        <v>53.34</v>
      </c>
      <c r="C106" t="s">
        <v>301</v>
      </c>
      <c r="D106" s="47" t="s">
        <v>286</v>
      </c>
      <c r="E106" s="39">
        <v>0.7534722222222222</v>
      </c>
      <c r="G106" s="32"/>
      <c r="J106" s="19"/>
      <c r="K106" s="39"/>
    </row>
    <row r="107" spans="1:11" ht="12.75">
      <c r="A107" s="17">
        <f>A58-A16</f>
        <v>458</v>
      </c>
      <c r="B107" s="17">
        <f>B16</f>
        <v>70.7136</v>
      </c>
      <c r="C107" t="s">
        <v>300</v>
      </c>
      <c r="D107" s="47"/>
      <c r="E107" s="39">
        <v>0.7604166666666666</v>
      </c>
      <c r="G107" s="32"/>
      <c r="I107" s="19"/>
      <c r="J107" s="47"/>
      <c r="K107" s="39"/>
    </row>
    <row r="108" spans="1:11" ht="12.75">
      <c r="A108" s="17">
        <f>A58-A15</f>
        <v>466</v>
      </c>
      <c r="B108" s="17">
        <f>B15</f>
        <v>71.9328</v>
      </c>
      <c r="C108" t="s">
        <v>299</v>
      </c>
      <c r="D108" s="47" t="s">
        <v>286</v>
      </c>
      <c r="E108" s="39">
        <v>0.7652777777777777</v>
      </c>
      <c r="G108" s="32"/>
      <c r="I108" s="19"/>
      <c r="J108" s="47"/>
      <c r="K108" s="39"/>
    </row>
    <row r="109" spans="1:11" ht="12.75">
      <c r="A109" s="17">
        <f>A58-A14</f>
        <v>475</v>
      </c>
      <c r="B109" s="17">
        <f>B14</f>
        <v>74.9808</v>
      </c>
      <c r="C109" t="s">
        <v>298</v>
      </c>
      <c r="D109" s="47" t="s">
        <v>286</v>
      </c>
      <c r="E109" s="39">
        <v>0.7743055555555556</v>
      </c>
      <c r="G109" s="34"/>
      <c r="J109" s="47"/>
      <c r="K109" s="39"/>
    </row>
    <row r="110" spans="1:11" ht="12.75">
      <c r="A110" s="17">
        <f>A58-A13</f>
        <v>489</v>
      </c>
      <c r="B110" s="17">
        <f>B13</f>
        <v>91.44</v>
      </c>
      <c r="C110" s="19" t="s">
        <v>297</v>
      </c>
      <c r="D110" s="47" t="s">
        <v>286</v>
      </c>
      <c r="E110" s="39">
        <v>0.7840277777777778</v>
      </c>
      <c r="G110" s="32"/>
      <c r="I110" s="19"/>
      <c r="J110" s="47"/>
      <c r="K110" s="39"/>
    </row>
    <row r="111" spans="1:11" ht="12.75">
      <c r="A111" s="17">
        <f>A58-A12</f>
        <v>500</v>
      </c>
      <c r="B111" s="17">
        <f>B12</f>
        <v>103.3272</v>
      </c>
      <c r="C111" s="19" t="s">
        <v>248</v>
      </c>
      <c r="D111" s="47"/>
      <c r="E111" s="39">
        <v>0.7916666666666666</v>
      </c>
      <c r="G111" s="32"/>
      <c r="I111" s="19"/>
      <c r="J111" s="47"/>
      <c r="K111" s="39"/>
    </row>
    <row r="112" spans="1:11" ht="12.75">
      <c r="A112" s="17">
        <f>A58-A11</f>
        <v>514</v>
      </c>
      <c r="B112" s="17">
        <f>B11</f>
        <v>10.972800000000001</v>
      </c>
      <c r="C112" s="19" t="s">
        <v>247</v>
      </c>
      <c r="D112" s="47"/>
      <c r="E112" s="39">
        <v>0.8055555555555556</v>
      </c>
      <c r="G112" s="32"/>
      <c r="I112" s="19"/>
      <c r="J112" s="47"/>
      <c r="K112" s="39"/>
    </row>
    <row r="113" spans="1:11" ht="12.75">
      <c r="A113" s="17">
        <f>A58-A10</f>
        <v>530</v>
      </c>
      <c r="B113" s="17">
        <f>B10</f>
        <v>15.24</v>
      </c>
      <c r="C113" s="19" t="s">
        <v>296</v>
      </c>
      <c r="D113" s="47" t="s">
        <v>286</v>
      </c>
      <c r="E113" s="39">
        <v>0.81875</v>
      </c>
      <c r="G113" s="34"/>
      <c r="J113" s="47"/>
      <c r="K113" s="39"/>
    </row>
    <row r="114" spans="1:10" ht="12.75">
      <c r="A114" s="17">
        <f>A58-A9</f>
        <v>538</v>
      </c>
      <c r="B114" s="17">
        <f>B9</f>
        <v>28.041600000000003</v>
      </c>
      <c r="C114" s="19" t="s">
        <v>295</v>
      </c>
      <c r="D114" s="47" t="s">
        <v>286</v>
      </c>
      <c r="E114" s="39">
        <v>0.8256944444444444</v>
      </c>
      <c r="G114" s="32"/>
      <c r="I114" s="19"/>
      <c r="J114" s="47"/>
    </row>
    <row r="115" spans="1:11" ht="12.75">
      <c r="A115" s="17">
        <f>A58-A8</f>
        <v>553</v>
      </c>
      <c r="B115" s="17">
        <f>B8</f>
        <v>60.0456</v>
      </c>
      <c r="C115" s="19" t="s">
        <v>294</v>
      </c>
      <c r="D115" s="47" t="s">
        <v>286</v>
      </c>
      <c r="E115" s="39">
        <v>0.8402777777777778</v>
      </c>
      <c r="G115" s="32"/>
      <c r="I115" s="19"/>
      <c r="J115" s="47"/>
      <c r="K115" s="39"/>
    </row>
    <row r="116" spans="1:11" ht="12.75">
      <c r="A116" s="17">
        <f>A58-A7</f>
        <v>565</v>
      </c>
      <c r="B116" s="17">
        <f>B7</f>
        <v>67.6656</v>
      </c>
      <c r="C116" s="19" t="s">
        <v>293</v>
      </c>
      <c r="D116" s="47" t="s">
        <v>286</v>
      </c>
      <c r="E116" s="39">
        <v>0.8520833333333333</v>
      </c>
      <c r="G116" s="32"/>
      <c r="I116" s="19"/>
      <c r="J116" s="19"/>
      <c r="K116" s="39"/>
    </row>
    <row r="117" spans="1:11" ht="12.75">
      <c r="A117" s="17">
        <f>A58-A6</f>
        <v>569</v>
      </c>
      <c r="B117" s="17">
        <f>B6</f>
        <v>12.192</v>
      </c>
      <c r="C117" s="19" t="s">
        <v>292</v>
      </c>
      <c r="D117" s="47" t="s">
        <v>286</v>
      </c>
      <c r="E117" s="39">
        <v>0.8555555555555555</v>
      </c>
      <c r="G117" s="32"/>
      <c r="I117" s="19"/>
      <c r="J117" s="19"/>
      <c r="K117" s="39"/>
    </row>
    <row r="118" spans="1:11" ht="12.75">
      <c r="A118" s="17">
        <f>A58-A5</f>
        <v>573</v>
      </c>
      <c r="B118" s="17">
        <f>B5</f>
        <v>11.5824</v>
      </c>
      <c r="C118" s="19" t="s">
        <v>245</v>
      </c>
      <c r="D118" s="19" t="s">
        <v>246</v>
      </c>
      <c r="E118" s="39">
        <v>0.8645833333333334</v>
      </c>
      <c r="G118" s="32"/>
      <c r="J118" s="39"/>
      <c r="K118" s="39"/>
    </row>
    <row r="119" spans="3:11" ht="12.75">
      <c r="C119" s="19" t="s">
        <v>290</v>
      </c>
      <c r="D119" s="19" t="s">
        <v>332</v>
      </c>
      <c r="G119" s="18"/>
      <c r="I119" s="19"/>
      <c r="K119" s="39"/>
    </row>
    <row r="120" spans="3:10" ht="12.75">
      <c r="C120" t="s">
        <v>259</v>
      </c>
      <c r="G120" s="32"/>
      <c r="I120" s="19"/>
      <c r="J120" s="19"/>
    </row>
    <row r="122" spans="1:9" ht="12.75">
      <c r="A122" s="50" t="s">
        <v>2</v>
      </c>
      <c r="B122" s="36" t="s">
        <v>222</v>
      </c>
      <c r="C122" s="42" t="s">
        <v>237</v>
      </c>
      <c r="D122" s="19"/>
      <c r="E122" s="41" t="s">
        <v>333</v>
      </c>
      <c r="F122" s="57">
        <v>3</v>
      </c>
      <c r="G122" s="41" t="s">
        <v>333</v>
      </c>
      <c r="H122" s="41" t="s">
        <v>333</v>
      </c>
      <c r="I122" s="41" t="s">
        <v>333</v>
      </c>
    </row>
    <row r="123" spans="1:9" ht="12.75">
      <c r="A123" s="16"/>
      <c r="C123" s="42" t="s">
        <v>334</v>
      </c>
      <c r="D123" s="19"/>
      <c r="E123" s="23" t="s">
        <v>36</v>
      </c>
      <c r="F123" s="23" t="s">
        <v>335</v>
      </c>
      <c r="G123" s="23" t="s">
        <v>336</v>
      </c>
      <c r="H123" s="23" t="s">
        <v>42</v>
      </c>
      <c r="I123" s="23" t="s">
        <v>36</v>
      </c>
    </row>
    <row r="124" spans="1:9" ht="12.75">
      <c r="A124" s="32">
        <v>0</v>
      </c>
      <c r="B124" s="17">
        <f>0.3048*38</f>
        <v>11.5824</v>
      </c>
      <c r="C124" s="19" t="s">
        <v>245</v>
      </c>
      <c r="D124" s="19" t="s">
        <v>241</v>
      </c>
      <c r="E124" s="39">
        <v>0.2916666666666667</v>
      </c>
      <c r="F124" s="39">
        <v>0.3125</v>
      </c>
      <c r="G124" s="39">
        <v>0.4583333333333333</v>
      </c>
      <c r="H124" s="39">
        <v>0.6597222222222222</v>
      </c>
      <c r="I124" s="39">
        <v>0.75</v>
      </c>
    </row>
    <row r="125" spans="1:9" ht="12.75">
      <c r="A125" s="46">
        <v>41.19</v>
      </c>
      <c r="B125" s="17">
        <f>0.3048*49</f>
        <v>14.9352</v>
      </c>
      <c r="C125" s="61" t="s">
        <v>337</v>
      </c>
      <c r="D125" s="39"/>
      <c r="E125" s="39">
        <f>E124+1/24*45/60</f>
        <v>0.3229166666666667</v>
      </c>
      <c r="F125" s="39">
        <f>F124+1/24*45/60</f>
        <v>0.34375</v>
      </c>
      <c r="G125" s="39">
        <f>G124+1/24*45/60</f>
        <v>0.4895833333333333</v>
      </c>
      <c r="H125" s="39">
        <f>H124+1/24*45/60</f>
        <v>0.6909722222222222</v>
      </c>
      <c r="I125" s="39">
        <f>I124+1/24*45/60</f>
        <v>0.78125</v>
      </c>
    </row>
    <row r="126" spans="1:9" ht="12.75">
      <c r="A126" s="46">
        <v>63.56</v>
      </c>
      <c r="B126" s="17">
        <f>0.3048*40</f>
        <v>12.192</v>
      </c>
      <c r="C126" s="19" t="s">
        <v>244</v>
      </c>
      <c r="E126" s="39">
        <f>E124+1/24*74/60</f>
        <v>0.34305555555555556</v>
      </c>
      <c r="F126" s="39">
        <f>F124+1/24*74/60</f>
        <v>0.3638888888888889</v>
      </c>
      <c r="G126" s="39">
        <f>G124+1/24*74/60</f>
        <v>0.5097222222222222</v>
      </c>
      <c r="H126" s="39">
        <f>H124+1/24*74/60</f>
        <v>0.7111111111111111</v>
      </c>
      <c r="I126" s="39">
        <f>I124+1/24*74/60</f>
        <v>0.8013888888888889</v>
      </c>
    </row>
    <row r="127" spans="1:9" ht="12.75">
      <c r="A127" s="46">
        <v>80.61</v>
      </c>
      <c r="B127" s="17">
        <f>0.3048*33</f>
        <v>10.0584</v>
      </c>
      <c r="C127" s="19" t="s">
        <v>270</v>
      </c>
      <c r="D127" s="19"/>
      <c r="E127" s="39">
        <f>E124+1/24*100/60</f>
        <v>0.3611111111111111</v>
      </c>
      <c r="F127" s="39">
        <f>F124+1/24*100/60</f>
        <v>0.3819444444444444</v>
      </c>
      <c r="G127" s="39">
        <f>G124+1/24*100/60</f>
        <v>0.5277777777777778</v>
      </c>
      <c r="H127" s="39">
        <f>H124+1/24*100/60</f>
        <v>0.7291666666666666</v>
      </c>
      <c r="I127" s="39">
        <f>I124+1/24*100/60</f>
        <v>0.8194444444444444</v>
      </c>
    </row>
    <row r="128" spans="1:9" ht="12.75">
      <c r="A128" s="46">
        <v>89.14</v>
      </c>
      <c r="B128" s="17">
        <f>0.3048*96</f>
        <v>29.260800000000003</v>
      </c>
      <c r="C128" s="19" t="s">
        <v>338</v>
      </c>
      <c r="D128" s="19"/>
      <c r="E128" s="39">
        <f>E124+1/24*111/60</f>
        <v>0.36875</v>
      </c>
      <c r="F128" s="39">
        <f>F124+1/24*111/60</f>
        <v>0.38958333333333334</v>
      </c>
      <c r="G128" s="39">
        <f>G124+1/24*111/60</f>
        <v>0.5354166666666667</v>
      </c>
      <c r="H128" s="39">
        <f>H124+1/24*111/60</f>
        <v>0.7368055555555555</v>
      </c>
      <c r="I128" s="39">
        <f>I124+1/24*111/60</f>
        <v>0.8270833333333334</v>
      </c>
    </row>
    <row r="129" spans="1:9" ht="12.75">
      <c r="A129" s="46">
        <v>100.56</v>
      </c>
      <c r="B129" s="17">
        <f>0.3048*21</f>
        <v>6.4008</v>
      </c>
      <c r="C129" s="19" t="s">
        <v>281</v>
      </c>
      <c r="D129" s="19" t="s">
        <v>246</v>
      </c>
      <c r="E129" s="39">
        <f>E124+130/60*1/24</f>
        <v>0.3819444444444445</v>
      </c>
      <c r="F129" s="39">
        <f>F124+130/60*1/24</f>
        <v>0.4027777777777778</v>
      </c>
      <c r="G129" s="39">
        <f>G124+130/60*1/24</f>
        <v>0.548611111111111</v>
      </c>
      <c r="H129" s="39">
        <f>H124+130/60*1/24</f>
        <v>0.75</v>
      </c>
      <c r="I129" s="39">
        <f>I124+130/60*1/24</f>
        <v>0.8402777777777778</v>
      </c>
    </row>
    <row r="130" ht="12.75">
      <c r="C130" t="s">
        <v>339</v>
      </c>
    </row>
    <row r="131" ht="12.75">
      <c r="D131" s="19"/>
    </row>
    <row r="132" spans="1:9" ht="12.75">
      <c r="A132" s="50" t="s">
        <v>2</v>
      </c>
      <c r="B132" s="36" t="s">
        <v>222</v>
      </c>
      <c r="C132" s="42" t="s">
        <v>223</v>
      </c>
      <c r="D132" s="19"/>
      <c r="E132" s="41" t="s">
        <v>333</v>
      </c>
      <c r="F132" s="57">
        <v>4</v>
      </c>
      <c r="G132" s="41" t="s">
        <v>333</v>
      </c>
      <c r="H132" s="41" t="s">
        <v>333</v>
      </c>
      <c r="I132" s="41" t="s">
        <v>333</v>
      </c>
    </row>
    <row r="133" spans="1:9" ht="12.75">
      <c r="A133" s="16"/>
      <c r="C133" s="42" t="s">
        <v>334</v>
      </c>
      <c r="D133" s="19"/>
      <c r="E133" s="23" t="s">
        <v>36</v>
      </c>
      <c r="F133" s="23" t="s">
        <v>335</v>
      </c>
      <c r="G133" s="23" t="s">
        <v>336</v>
      </c>
      <c r="H133" s="23" t="s">
        <v>42</v>
      </c>
      <c r="I133" s="23" t="s">
        <v>36</v>
      </c>
    </row>
    <row r="134" spans="1:9" ht="12.75">
      <c r="A134" s="32">
        <f>A129-A129</f>
        <v>0</v>
      </c>
      <c r="B134" s="17">
        <f>B129</f>
        <v>6.4008</v>
      </c>
      <c r="C134" s="19" t="s">
        <v>281</v>
      </c>
      <c r="D134" s="19" t="s">
        <v>241</v>
      </c>
      <c r="E134" s="39">
        <v>0.40625</v>
      </c>
      <c r="F134" s="39">
        <v>0.5833333333333334</v>
      </c>
      <c r="G134" s="39">
        <v>0.7291666666666666</v>
      </c>
      <c r="H134" s="39">
        <v>0.7708333333333334</v>
      </c>
      <c r="I134" s="39">
        <v>0.8645833333333334</v>
      </c>
    </row>
    <row r="135" spans="1:9" ht="12.75">
      <c r="A135" s="32">
        <f>A129-A128</f>
        <v>11.420000000000002</v>
      </c>
      <c r="B135" s="17">
        <f>B128</f>
        <v>29.260800000000003</v>
      </c>
      <c r="C135" s="19" t="s">
        <v>338</v>
      </c>
      <c r="D135" s="19"/>
      <c r="E135" s="39">
        <f>E134+1/24*11/60</f>
        <v>0.41388888888888886</v>
      </c>
      <c r="F135" s="39">
        <f>F134+1/24*11/60</f>
        <v>0.5909722222222222</v>
      </c>
      <c r="G135" s="39">
        <f>G134+1/24*11/60</f>
        <v>0.7368055555555555</v>
      </c>
      <c r="H135" s="39">
        <f>H134+1/24*11/60</f>
        <v>0.7784722222222222</v>
      </c>
      <c r="I135" s="39">
        <f>I134+1/24*11/60</f>
        <v>0.8722222222222222</v>
      </c>
    </row>
    <row r="136" spans="1:9" ht="12.75">
      <c r="A136" s="32">
        <f>A129-A127</f>
        <v>19.950000000000003</v>
      </c>
      <c r="B136" s="17">
        <f>B127</f>
        <v>10.0584</v>
      </c>
      <c r="C136" s="19" t="s">
        <v>270</v>
      </c>
      <c r="D136" s="19"/>
      <c r="E136" s="39">
        <f>E134+1/24*30/60</f>
        <v>0.4270833333333333</v>
      </c>
      <c r="F136" s="39">
        <f>F134+1/24*30/60</f>
        <v>0.6041666666666667</v>
      </c>
      <c r="G136" s="39">
        <f>G134+1/24*30/60</f>
        <v>0.75</v>
      </c>
      <c r="H136" s="39">
        <f>H134+1/24*30/60</f>
        <v>0.7916666666666667</v>
      </c>
      <c r="I136" s="39">
        <f>I134+1/24*30/60</f>
        <v>0.8854166666666667</v>
      </c>
    </row>
    <row r="137" spans="1:9" ht="12.75">
      <c r="A137" s="32">
        <f>A129-A126</f>
        <v>37</v>
      </c>
      <c r="B137" s="17">
        <f>B126</f>
        <v>12.192</v>
      </c>
      <c r="C137" s="19" t="s">
        <v>244</v>
      </c>
      <c r="D137" s="39"/>
      <c r="E137" s="39">
        <f>E134+1/24*56/60</f>
        <v>0.44513888888888886</v>
      </c>
      <c r="F137" s="39">
        <f>F134+1/24*56/60</f>
        <v>0.6222222222222222</v>
      </c>
      <c r="G137" s="39">
        <f>G134+1/24*56/60</f>
        <v>0.7680555555555555</v>
      </c>
      <c r="H137" s="39">
        <f>H134+1/24*56/60</f>
        <v>0.8097222222222222</v>
      </c>
      <c r="I137" s="39">
        <f>I134+1/24*56/60</f>
        <v>0.9034722222222222</v>
      </c>
    </row>
    <row r="138" spans="1:9" ht="12.75">
      <c r="A138" s="32">
        <f>A129-A125</f>
        <v>59.370000000000005</v>
      </c>
      <c r="B138" s="17">
        <f>B125</f>
        <v>14.9352</v>
      </c>
      <c r="C138" t="s">
        <v>337</v>
      </c>
      <c r="E138" s="39">
        <f>E134+1/24*84/60</f>
        <v>0.46458333333333335</v>
      </c>
      <c r="F138" s="39">
        <f>F134+1/24*84/60</f>
        <v>0.6416666666666667</v>
      </c>
      <c r="G138" s="39">
        <f>G134+1/24*84/60</f>
        <v>0.7875</v>
      </c>
      <c r="H138" s="39">
        <f>H134+1/24*84/60</f>
        <v>0.8291666666666667</v>
      </c>
      <c r="I138" s="39">
        <f>I134+1/24*84/60</f>
        <v>0.9229166666666667</v>
      </c>
    </row>
    <row r="139" spans="1:9" ht="12.75">
      <c r="A139" s="32">
        <f>A129-A124</f>
        <v>100.56</v>
      </c>
      <c r="B139" s="17">
        <f>B124</f>
        <v>11.5824</v>
      </c>
      <c r="C139" s="19" t="s">
        <v>245</v>
      </c>
      <c r="D139" s="19" t="s">
        <v>246</v>
      </c>
      <c r="E139" s="39">
        <f>E134+130/60*1/24</f>
        <v>0.4965277777777778</v>
      </c>
      <c r="F139" s="39">
        <f>F134+130/60*1/24</f>
        <v>0.6736111111111112</v>
      </c>
      <c r="G139" s="39">
        <f>G134+130/60*1/24</f>
        <v>0.8194444444444444</v>
      </c>
      <c r="H139" s="39">
        <f>H134+130/60*1/24</f>
        <v>0.8611111111111112</v>
      </c>
      <c r="I139" s="39">
        <f>I134+130/60*1/24</f>
        <v>0.9548611111111112</v>
      </c>
    </row>
    <row r="140" ht="12.75">
      <c r="C140" t="s">
        <v>339</v>
      </c>
    </row>
    <row r="143" spans="1:5" ht="12.75">
      <c r="A143" s="3">
        <v>1960</v>
      </c>
      <c r="C143" s="35" t="s">
        <v>221</v>
      </c>
      <c r="E143" s="36"/>
    </row>
    <row r="144" spans="1:6" ht="12.75">
      <c r="A144" s="36" t="s">
        <v>2</v>
      </c>
      <c r="B144" s="36" t="s">
        <v>222</v>
      </c>
      <c r="C144" s="35" t="s">
        <v>223</v>
      </c>
      <c r="F144" s="12"/>
    </row>
    <row r="145" spans="3:6" ht="12.75">
      <c r="C145" s="35" t="s">
        <v>224</v>
      </c>
      <c r="E145" s="38"/>
      <c r="F145" s="38"/>
    </row>
    <row r="146" spans="1:5" ht="12.75">
      <c r="A146" s="18">
        <v>0</v>
      </c>
      <c r="B146" s="18">
        <v>0</v>
      </c>
      <c r="C146" t="s">
        <v>225</v>
      </c>
      <c r="D146" t="s">
        <v>241</v>
      </c>
      <c r="E146" t="s">
        <v>340</v>
      </c>
    </row>
    <row r="147" spans="1:6" ht="12.75">
      <c r="A147" s="18">
        <v>2.73</v>
      </c>
      <c r="B147" s="18">
        <v>0</v>
      </c>
      <c r="C147" t="s">
        <v>227</v>
      </c>
      <c r="E147" s="39"/>
      <c r="F147" s="40"/>
    </row>
    <row r="148" spans="1:6" ht="12.75">
      <c r="A148" s="18">
        <v>31.83</v>
      </c>
      <c r="B148" s="18">
        <f>0.3048*2885</f>
        <v>879.3480000000001</v>
      </c>
      <c r="C148" t="s">
        <v>228</v>
      </c>
      <c r="E148" s="40"/>
      <c r="F148" s="40"/>
    </row>
    <row r="149" spans="1:6" ht="12.75">
      <c r="A149" s="18">
        <v>52.13</v>
      </c>
      <c r="B149" s="18">
        <f>0.3048*2916</f>
        <v>888.7968000000001</v>
      </c>
      <c r="C149" t="s">
        <v>229</v>
      </c>
      <c r="E149" s="40"/>
      <c r="F149" s="40"/>
    </row>
    <row r="150" spans="1:6" ht="12.75">
      <c r="A150" s="18">
        <v>64.33</v>
      </c>
      <c r="B150" s="18">
        <f>0.3048*2158</f>
        <v>657.7584</v>
      </c>
      <c r="C150" t="s">
        <v>230</v>
      </c>
      <c r="E150" s="37"/>
      <c r="F150" s="40"/>
    </row>
    <row r="151" spans="1:6" ht="12.75">
      <c r="A151" s="18">
        <v>107.63</v>
      </c>
      <c r="B151" s="18">
        <f>0.3048*2164</f>
        <v>659.5872</v>
      </c>
      <c r="C151" t="s">
        <v>116</v>
      </c>
      <c r="E151" s="40"/>
      <c r="F151" s="40"/>
    </row>
    <row r="152" spans="1:6" ht="12.75">
      <c r="A152" s="18">
        <v>176.83</v>
      </c>
      <c r="B152" s="18">
        <f>0.3048*2079</f>
        <v>633.6792</v>
      </c>
      <c r="C152" t="s">
        <v>231</v>
      </c>
      <c r="D152" t="s">
        <v>246</v>
      </c>
      <c r="E152" s="40"/>
      <c r="F152" s="40"/>
    </row>
    <row r="153" spans="3:6" ht="12.75">
      <c r="C153" t="s">
        <v>232</v>
      </c>
      <c r="F153" s="12"/>
    </row>
    <row r="154" ht="12.75">
      <c r="C154" t="s">
        <v>233</v>
      </c>
    </row>
    <row r="155" ht="12.75">
      <c r="C155" t="s">
        <v>234</v>
      </c>
    </row>
    <row r="156" ht="12.75">
      <c r="C156" t="s">
        <v>236</v>
      </c>
    </row>
    <row r="157" ht="12.75">
      <c r="C157" t="s">
        <v>235</v>
      </c>
    </row>
    <row r="159" spans="3:5" ht="12.75">
      <c r="C159" s="35" t="s">
        <v>221</v>
      </c>
      <c r="E159" s="36"/>
    </row>
    <row r="160" spans="3:5" ht="12.75">
      <c r="C160" s="35"/>
      <c r="E160" s="36"/>
    </row>
    <row r="161" spans="1:6" ht="12.75">
      <c r="A161" s="36" t="s">
        <v>2</v>
      </c>
      <c r="B161" s="36" t="s">
        <v>222</v>
      </c>
      <c r="C161" s="35" t="s">
        <v>237</v>
      </c>
      <c r="F161" s="12"/>
    </row>
    <row r="162" spans="3:6" ht="12.75">
      <c r="C162" s="35" t="s">
        <v>224</v>
      </c>
      <c r="E162" s="38"/>
      <c r="F162" s="38"/>
    </row>
    <row r="163" spans="1:6" ht="12.75">
      <c r="A163" s="18">
        <f>A152-A152</f>
        <v>0</v>
      </c>
      <c r="B163" s="18">
        <f>0.3048*2079</f>
        <v>633.6792</v>
      </c>
      <c r="C163" t="s">
        <v>231</v>
      </c>
      <c r="D163" t="s">
        <v>241</v>
      </c>
      <c r="E163" t="s">
        <v>341</v>
      </c>
      <c r="F163" s="39"/>
    </row>
    <row r="164" spans="1:6" ht="12.75">
      <c r="A164" s="34">
        <f>A152-A151</f>
        <v>69.20000000000002</v>
      </c>
      <c r="B164" s="18">
        <f>0.3048*2164</f>
        <v>659.5872</v>
      </c>
      <c r="C164" t="s">
        <v>116</v>
      </c>
      <c r="E164" s="40"/>
      <c r="F164" s="39"/>
    </row>
    <row r="165" spans="1:6" ht="12.75">
      <c r="A165" s="34">
        <f>A152-A150</f>
        <v>112.50000000000001</v>
      </c>
      <c r="B165" s="18">
        <f>0.3048*2158</f>
        <v>657.7584</v>
      </c>
      <c r="C165" t="s">
        <v>230</v>
      </c>
      <c r="E165" s="40"/>
      <c r="F165" s="40"/>
    </row>
    <row r="166" spans="1:6" ht="12.75">
      <c r="A166" s="34">
        <f>A152-A149</f>
        <v>124.70000000000002</v>
      </c>
      <c r="B166" s="18">
        <f>0.3048*2916</f>
        <v>888.7968000000001</v>
      </c>
      <c r="C166" t="s">
        <v>229</v>
      </c>
      <c r="E166" s="40"/>
      <c r="F166" s="40"/>
    </row>
    <row r="167" spans="1:6" ht="12.75">
      <c r="A167" s="34">
        <f>A152-A148</f>
        <v>145</v>
      </c>
      <c r="B167" s="18">
        <f>0.3048*2885</f>
        <v>879.3480000000001</v>
      </c>
      <c r="C167" t="s">
        <v>228</v>
      </c>
      <c r="E167" s="40"/>
      <c r="F167" s="40"/>
    </row>
    <row r="168" spans="1:6" ht="12.75">
      <c r="A168" s="34">
        <f>A152-A147</f>
        <v>174.10000000000002</v>
      </c>
      <c r="B168" s="18">
        <v>0</v>
      </c>
      <c r="C168" t="s">
        <v>227</v>
      </c>
      <c r="D168" t="s">
        <v>246</v>
      </c>
      <c r="E168" s="39"/>
      <c r="F168" s="39"/>
    </row>
    <row r="169" spans="1:5" ht="12.75">
      <c r="A169" s="34">
        <f>A152-A146</f>
        <v>176.83</v>
      </c>
      <c r="B169" s="18">
        <v>0</v>
      </c>
      <c r="C169" t="s">
        <v>225</v>
      </c>
      <c r="D169" t="s">
        <v>246</v>
      </c>
      <c r="E169" s="40"/>
    </row>
    <row r="170" spans="3:5" ht="12.75">
      <c r="C170" t="s">
        <v>239</v>
      </c>
      <c r="E170" s="12"/>
    </row>
    <row r="171" ht="12.75">
      <c r="C171" t="s">
        <v>233</v>
      </c>
    </row>
    <row r="172" ht="12.75">
      <c r="C172" t="s">
        <v>234</v>
      </c>
    </row>
    <row r="173" ht="12.75">
      <c r="C173" t="s">
        <v>236</v>
      </c>
    </row>
    <row r="174" ht="12.75">
      <c r="C174" t="s">
        <v>235</v>
      </c>
    </row>
    <row r="177" spans="1:9" ht="12.75">
      <c r="A177" s="16"/>
      <c r="B177" s="16"/>
      <c r="C177" s="16"/>
      <c r="D177" s="16"/>
      <c r="E177" s="16"/>
      <c r="F177" s="16"/>
      <c r="G177" s="16"/>
      <c r="H177" s="16"/>
      <c r="I177" s="16"/>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4701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Layout 1</dc:title>
  <dc:subject/>
  <dc:creator/>
  <cp:keywords/>
  <dc:description/>
  <cp:lastModifiedBy/>
  <dcterms:created xsi:type="dcterms:W3CDTF">2012-08-13T05:47:40Z</dcterms:created>
  <dcterms:modified xsi:type="dcterms:W3CDTF">2015-02-11T17:30:27Z</dcterms:modified>
  <cp:category/>
  <cp:version/>
  <cp:contentType/>
  <cp:contentStatus/>
  <cp:revision>49</cp:revision>
</cp:coreProperties>
</file>